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19440" windowHeight="13995"/>
  </bookViews>
  <sheets>
    <sheet name="REP_FNDE_2" sheetId="3" r:id="rId1"/>
  </sheets>
  <definedNames>
    <definedName name="_xlnm._FilterDatabase" localSheetId="0" hidden="1">REP_FNDE_2!$A$11:$T$28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5E774987_935C_4730_A930_6193D2940B74_.wvu.FilterData" localSheetId="0" hidden="1">REP_FNDE_2!$A$11:$T$28</definedName>
  </definedNames>
  <calcPr calcId="145621"/>
  <customWorkbookViews>
    <customWorkbookView name="Marta" guid="{EF8B4378-0807-4E5C-89BA-FA64C76D4FE1}" maximized="1" windowWidth="0" windowHeight="0" activeSheetId="0"/>
    <customWorkbookView name="Mauro" guid="{B5EDE42E-9B86-4568-8214-C75DFF105E47}" maximized="1" windowWidth="0" windowHeight="0" activeSheetId="0"/>
    <customWorkbookView name="Filtro 1" guid="{5E774987-935C-4730-A930-6193D2940B74}" maximized="1" windowWidth="0" windowHeight="0" activeSheetId="0"/>
    <customWorkbookView name="Filtro 2" guid="{156B18E7-ED2C-4CA1-8DD4-A4F5F712207A}" maximized="1" windowWidth="0" windowHeight="0" activeSheetId="0"/>
  </customWorkbookViews>
</workbook>
</file>

<file path=xl/calcChain.xml><?xml version="1.0" encoding="utf-8"?>
<calcChain xmlns="http://schemas.openxmlformats.org/spreadsheetml/2006/main">
  <c r="S7" i="3" l="1"/>
  <c r="Q21" i="3"/>
  <c r="M24" i="3"/>
  <c r="Q26" i="3"/>
  <c r="O20" i="3"/>
  <c r="O17" i="3"/>
  <c r="A12" i="3"/>
  <c r="Q22" i="3"/>
  <c r="L23" i="3"/>
  <c r="K26" i="3"/>
  <c r="G25" i="3"/>
  <c r="F21" i="3"/>
  <c r="O27" i="3"/>
  <c r="M28" i="3"/>
  <c r="N16" i="3"/>
  <c r="R27" i="3"/>
  <c r="N25" i="3"/>
  <c r="S15" i="3"/>
  <c r="J16" i="3"/>
  <c r="N12" i="3"/>
  <c r="C19" i="3"/>
  <c r="P28" i="3"/>
  <c r="M18" i="3"/>
  <c r="I27" i="3"/>
  <c r="J21" i="3"/>
  <c r="Q18" i="3"/>
  <c r="S20" i="3"/>
  <c r="O19" i="3"/>
  <c r="E11" i="3"/>
  <c r="F28" i="3"/>
  <c r="M20" i="3"/>
  <c r="P20" i="3"/>
  <c r="M17" i="3"/>
  <c r="B23" i="3"/>
  <c r="B26" i="3"/>
  <c r="F18" i="3"/>
  <c r="F26" i="3"/>
  <c r="R22" i="3"/>
  <c r="D19" i="3"/>
  <c r="M27" i="3"/>
  <c r="K19" i="3"/>
  <c r="R14" i="3"/>
  <c r="H12" i="3"/>
  <c r="P15" i="3"/>
  <c r="H15" i="3"/>
  <c r="B14" i="3"/>
  <c r="E26" i="3"/>
  <c r="K15" i="3"/>
  <c r="B20" i="3"/>
  <c r="P14" i="3"/>
  <c r="F16" i="3"/>
  <c r="C15" i="3"/>
  <c r="P17" i="3"/>
  <c r="I25" i="3"/>
  <c r="M22" i="3"/>
  <c r="B28" i="3"/>
  <c r="C18" i="3"/>
  <c r="D17" i="3"/>
  <c r="H21" i="3"/>
  <c r="Q17" i="3"/>
  <c r="G23" i="3"/>
  <c r="G16" i="3"/>
  <c r="A11" i="3"/>
  <c r="J28" i="3"/>
  <c r="N18" i="3"/>
  <c r="S22" i="3"/>
  <c r="O21" i="3"/>
  <c r="O15" i="3"/>
  <c r="K28" i="3"/>
  <c r="L12" i="3"/>
  <c r="F19" i="3"/>
  <c r="G24" i="3"/>
  <c r="O24" i="3"/>
  <c r="M14" i="3"/>
  <c r="N26" i="3"/>
  <c r="J26" i="3"/>
  <c r="I17" i="3"/>
  <c r="C27" i="3"/>
  <c r="A19" i="3"/>
  <c r="P19" i="3"/>
  <c r="S24" i="3"/>
  <c r="S26" i="3"/>
  <c r="D15" i="3"/>
  <c r="A21" i="3"/>
  <c r="I12" i="3"/>
  <c r="E13" i="3"/>
  <c r="N27" i="3"/>
  <c r="L24" i="3"/>
  <c r="N19" i="3"/>
  <c r="D23" i="3"/>
  <c r="J13" i="3"/>
  <c r="I22" i="3"/>
  <c r="B27" i="3"/>
  <c r="E15" i="3"/>
  <c r="I13" i="3"/>
  <c r="K12" i="3"/>
  <c r="N11" i="3"/>
  <c r="G22" i="3"/>
  <c r="E20" i="3"/>
  <c r="E14" i="3"/>
  <c r="C17" i="3"/>
  <c r="H16" i="3"/>
  <c r="R15" i="3"/>
  <c r="K27" i="3"/>
  <c r="K24" i="3"/>
  <c r="B24" i="3"/>
  <c r="G11" i="3"/>
  <c r="P12" i="3"/>
  <c r="A24" i="3"/>
  <c r="C13" i="3"/>
  <c r="R19" i="3"/>
  <c r="Q15" i="3"/>
  <c r="S14" i="3"/>
  <c r="F23" i="3"/>
  <c r="A25" i="3"/>
  <c r="A15" i="3"/>
  <c r="N13" i="3"/>
  <c r="S13" i="3"/>
  <c r="L26" i="3"/>
  <c r="O25" i="3"/>
  <c r="N24" i="3"/>
  <c r="J17" i="3"/>
  <c r="I18" i="3"/>
  <c r="J20" i="3"/>
  <c r="P24" i="3"/>
  <c r="P25" i="3"/>
  <c r="R17" i="3"/>
  <c r="G18" i="3"/>
  <c r="P21" i="3"/>
  <c r="A20" i="3"/>
  <c r="J12" i="3"/>
  <c r="F17" i="3"/>
  <c r="B11" i="3"/>
  <c r="D26" i="3"/>
  <c r="D24" i="3"/>
  <c r="M26" i="3"/>
  <c r="I15" i="3"/>
  <c r="M16" i="3"/>
  <c r="I20" i="3"/>
  <c r="G21" i="3"/>
  <c r="K18" i="3"/>
  <c r="A27" i="3"/>
  <c r="D14" i="3"/>
  <c r="C24" i="3"/>
  <c r="F27" i="3"/>
  <c r="R20" i="3"/>
  <c r="I21" i="3"/>
  <c r="G19" i="3"/>
  <c r="K23" i="3"/>
  <c r="L28" i="3"/>
  <c r="D27" i="3"/>
  <c r="S21" i="3"/>
  <c r="O23" i="3"/>
  <c r="E23" i="3"/>
  <c r="C28" i="3"/>
  <c r="H25" i="3"/>
  <c r="D18" i="3"/>
  <c r="M12" i="3"/>
  <c r="I11" i="3"/>
  <c r="E12" i="3"/>
  <c r="G12" i="3"/>
  <c r="P23" i="3"/>
  <c r="H24" i="3"/>
  <c r="M19" i="3"/>
  <c r="L17" i="3"/>
  <c r="L22" i="3"/>
  <c r="Q14" i="3"/>
  <c r="O22" i="3"/>
  <c r="O11" i="3"/>
  <c r="G27" i="3"/>
  <c r="H17" i="3"/>
  <c r="J22" i="3"/>
  <c r="L25" i="3"/>
  <c r="E18" i="3"/>
  <c r="C16" i="3"/>
  <c r="A17" i="3"/>
  <c r="E16" i="3"/>
  <c r="D20" i="3"/>
  <c r="Q16" i="3"/>
  <c r="L16" i="3"/>
  <c r="I24" i="3"/>
  <c r="D25" i="3"/>
  <c r="C21" i="3"/>
  <c r="B18" i="3"/>
  <c r="N15" i="3"/>
  <c r="H22" i="3"/>
  <c r="A16" i="3"/>
  <c r="A23" i="3"/>
  <c r="B17" i="3"/>
  <c r="M21" i="3"/>
  <c r="S12" i="3"/>
  <c r="L15" i="3"/>
  <c r="F14" i="3"/>
  <c r="I14" i="3"/>
  <c r="K16" i="3"/>
  <c r="C23" i="3"/>
  <c r="P18" i="3"/>
  <c r="S19" i="3"/>
  <c r="S28" i="3"/>
  <c r="C11" i="3"/>
  <c r="Q27" i="3"/>
  <c r="P27" i="3"/>
  <c r="O18" i="3"/>
  <c r="F11" i="3"/>
  <c r="G28" i="3"/>
  <c r="J19" i="3"/>
  <c r="K20" i="3"/>
  <c r="K14" i="3"/>
  <c r="K21" i="3"/>
  <c r="P26" i="3"/>
  <c r="M15" i="3"/>
  <c r="I19" i="3"/>
  <c r="O28" i="3"/>
  <c r="Q25" i="3"/>
  <c r="H19" i="3"/>
  <c r="E17" i="3"/>
  <c r="Q20" i="3"/>
  <c r="L14" i="3"/>
  <c r="O12" i="3"/>
  <c r="H11" i="3"/>
  <c r="E28" i="3"/>
  <c r="Q23" i="3"/>
  <c r="N21" i="3"/>
  <c r="B22" i="3"/>
  <c r="C22" i="3"/>
  <c r="H23" i="3"/>
  <c r="L13" i="3"/>
  <c r="G26" i="3"/>
  <c r="D13" i="3"/>
  <c r="M25" i="3"/>
  <c r="H13" i="3"/>
  <c r="F20" i="3"/>
  <c r="R18" i="3"/>
  <c r="B16" i="3"/>
  <c r="L19" i="3"/>
  <c r="H28" i="3"/>
  <c r="B12" i="3"/>
  <c r="N28" i="3"/>
  <c r="Q28" i="3"/>
  <c r="M23" i="3"/>
  <c r="I23" i="3"/>
  <c r="J14" i="3"/>
  <c r="J11" i="3"/>
  <c r="L11" i="3"/>
  <c r="F13" i="3"/>
  <c r="A28" i="3"/>
  <c r="G20" i="3"/>
  <c r="S25" i="3"/>
  <c r="B21" i="3"/>
  <c r="S18" i="3"/>
  <c r="G17" i="3"/>
  <c r="H18" i="3"/>
  <c r="G15" i="3"/>
  <c r="H20" i="3"/>
  <c r="O26" i="3"/>
  <c r="D22" i="3"/>
  <c r="R16" i="3"/>
  <c r="L21" i="3"/>
  <c r="S17" i="3"/>
  <c r="P11" i="3"/>
  <c r="Q12" i="3"/>
  <c r="K22" i="3"/>
  <c r="N20" i="3"/>
  <c r="R26" i="3"/>
  <c r="F15" i="3"/>
  <c r="B19" i="3"/>
  <c r="R23" i="3"/>
  <c r="R12" i="3"/>
  <c r="J24" i="3"/>
  <c r="J27" i="3"/>
  <c r="E27" i="3"/>
  <c r="C14" i="3"/>
  <c r="Q24" i="3"/>
  <c r="I16" i="3"/>
  <c r="K25" i="3"/>
  <c r="A18" i="3"/>
  <c r="A13" i="3"/>
  <c r="F22" i="3"/>
  <c r="J15" i="3"/>
  <c r="S27" i="3"/>
  <c r="R11" i="3"/>
  <c r="B15" i="3"/>
  <c r="C26" i="3"/>
  <c r="E24" i="3"/>
  <c r="A14" i="3"/>
  <c r="S16" i="3"/>
  <c r="O14" i="3"/>
  <c r="R13" i="3"/>
  <c r="G14" i="3"/>
  <c r="J25" i="3"/>
  <c r="M11" i="3"/>
  <c r="B13" i="3"/>
  <c r="J23" i="3"/>
  <c r="R25" i="3"/>
  <c r="K11" i="3"/>
  <c r="C25" i="3"/>
  <c r="Q13" i="3"/>
  <c r="A22" i="3"/>
  <c r="Q19" i="3"/>
  <c r="A26" i="3"/>
  <c r="H26" i="3"/>
  <c r="O16" i="3"/>
  <c r="F25" i="3"/>
  <c r="M13" i="3"/>
  <c r="Q11" i="3"/>
  <c r="E21" i="3"/>
  <c r="P16" i="3"/>
  <c r="F24" i="3"/>
  <c r="N23" i="3"/>
  <c r="N22" i="3"/>
  <c r="D28" i="3"/>
  <c r="R28" i="3"/>
  <c r="C12" i="3"/>
  <c r="D12" i="3"/>
  <c r="R21" i="3"/>
  <c r="P13" i="3"/>
  <c r="E19" i="3"/>
  <c r="C20" i="3"/>
  <c r="J18" i="3"/>
  <c r="S23" i="3"/>
  <c r="G13" i="3"/>
  <c r="D21" i="3"/>
  <c r="L18" i="3"/>
  <c r="F12" i="3"/>
  <c r="H14" i="3"/>
  <c r="K17" i="3"/>
  <c r="L20" i="3"/>
  <c r="E25" i="3"/>
  <c r="B25" i="3"/>
  <c r="D16" i="3"/>
  <c r="I28" i="3"/>
  <c r="P22" i="3"/>
  <c r="I26" i="3"/>
  <c r="E22" i="3"/>
  <c r="K13" i="3"/>
  <c r="D11" i="3"/>
  <c r="N14" i="3"/>
  <c r="S11" i="3"/>
  <c r="O13" i="3"/>
  <c r="H27" i="3"/>
  <c r="L27" i="3"/>
  <c r="R24" i="3"/>
  <c r="N17" i="3"/>
  <c r="C9" i="3" l="1"/>
  <c r="P7" i="3"/>
  <c r="L7" i="3"/>
  <c r="G7" i="3"/>
  <c r="E7" i="3"/>
  <c r="M7" i="3"/>
  <c r="H7" i="3"/>
  <c r="K7" i="3"/>
  <c r="O7" i="3"/>
  <c r="N7" i="3"/>
  <c r="F7" i="3"/>
  <c r="J7" i="3"/>
  <c r="I7" i="3"/>
</calcChain>
</file>

<file path=xl/sharedStrings.xml><?xml version="1.0" encoding="utf-8"?>
<sst xmlns="http://schemas.openxmlformats.org/spreadsheetml/2006/main" count="25" uniqueCount="25">
  <si>
    <t>2º REPASSE FNDE PNAE  - TOCANTINS  2019</t>
  </si>
  <si>
    <t>SUBTOTAIS:</t>
  </si>
  <si>
    <t xml:space="preserve">REGIONAL </t>
  </si>
  <si>
    <t>MUNICÍPIO</t>
  </si>
  <si>
    <t>CNPJ</t>
  </si>
  <si>
    <t>ENSINO FUNDAMENTAL INTEGRAL</t>
  </si>
  <si>
    <t>ENSINO FUNDAMENTAL NORMAL</t>
  </si>
  <si>
    <t>ED. INF. CRECHE</t>
  </si>
  <si>
    <t>ED. INF. PRÉ ESCOLA</t>
  </si>
  <si>
    <t>AEE</t>
  </si>
  <si>
    <t>ENSINO MEDIO INTEGRAL</t>
  </si>
  <si>
    <t>ENSINO MEDIO NORMAL</t>
  </si>
  <si>
    <t>E. M. JOVEM EM AÇÃO</t>
  </si>
  <si>
    <t>INDíGENA</t>
  </si>
  <si>
    <t>QUILOMB. INTEGRAL</t>
  </si>
  <si>
    <t>QUILOMB. NORMAL</t>
  </si>
  <si>
    <t>EJA PARCIAL</t>
  </si>
  <si>
    <t>BANCO</t>
  </si>
  <si>
    <t>AGENCIA</t>
  </si>
  <si>
    <t>CONTA CORRENTE</t>
  </si>
  <si>
    <t>VALOR TOTAL DO REPASSE (em R$)</t>
  </si>
  <si>
    <t>TOTAL GERAL: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</si>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</sst>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4"/>
      <name val="Arial"/>
    </font>
    <font>
      <b/>
      <sz val="10"/>
      <color rgb="FFCCCCCC"/>
      <name val="Arial"/>
    </font>
    <font>
      <b/>
      <sz val="11"/>
      <color rgb="FF000000"/>
      <name val="Calibri"/>
    </font>
    <font>
      <b/>
      <sz val="8"/>
      <name val="Arial"/>
    </font>
    <font>
      <b/>
      <sz val="9"/>
      <name val="Arial"/>
    </font>
    <font>
      <b/>
      <sz val="6"/>
      <color rgb="FF073763"/>
      <name val="Arial"/>
    </font>
    <font>
      <b/>
      <sz val="1"/>
      <color rgb="FF073763"/>
      <name val="Arial"/>
    </font>
    <font>
      <b/>
      <sz val="1"/>
      <color rgb="FF073763"/>
      <name val="Calibri"/>
    </font>
    <font>
      <sz val="6"/>
      <name val="Arial"/>
    </font>
    <font>
      <sz val="10"/>
      <color rgb="FF000000"/>
      <name val="Arial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D966"/>
        <bgColor rgb="FFFFD966"/>
      </patternFill>
    </fill>
    <fill>
      <patternFill patternType="solid">
        <fgColor rgb="FFEDE9CF"/>
        <bgColor rgb="FFEDE9CF"/>
      </patternFill>
    </fill>
    <fill>
      <patternFill patternType="solid">
        <fgColor rgb="FFFFF2CC"/>
        <bgColor rgb="FFFFF2CC"/>
      </patternFill>
    </fill>
    <fill>
      <patternFill patternType="solid">
        <fgColor rgb="FFD0E0E3"/>
        <bgColor rgb="FFD0E0E3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E6B8B7"/>
        <bgColor rgb="FFE6B8B7"/>
      </patternFill>
    </fill>
    <fill>
      <patternFill patternType="solid">
        <fgColor rgb="FFD9EAD3"/>
        <bgColor rgb="FFD9EAD3"/>
      </patternFill>
    </fill>
    <fill>
      <patternFill patternType="solid">
        <fgColor rgb="FF434343"/>
        <bgColor rgb="FF434343"/>
      </patternFill>
    </fill>
    <fill>
      <patternFill patternType="solid">
        <fgColor rgb="FFEAD1DC"/>
        <bgColor rgb="FFEAD1D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9">
    <border>
      <left/>
      <right/>
      <top/>
      <bottom/>
      <diagonal/>
    </border>
    <border>
      <left style="medium">
        <color rgb="FF1155CC"/>
      </left>
      <right/>
      <top/>
      <bottom/>
      <diagonal/>
    </border>
    <border>
      <left style="medium">
        <color rgb="FF1155CC"/>
      </left>
      <right/>
      <top style="medium">
        <color rgb="FFB45F06"/>
      </top>
      <bottom style="medium">
        <color rgb="FFB45F06"/>
      </bottom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thin">
        <color rgb="FF0B5394"/>
      </bottom>
      <diagonal/>
    </border>
    <border>
      <left style="thin">
        <color rgb="FF3C78D8"/>
      </left>
      <right style="thin">
        <color rgb="FF3C78D8"/>
      </right>
      <top style="medium">
        <color rgb="FFB45F06"/>
      </top>
      <bottom style="medium">
        <color rgb="FFB45F06"/>
      </bottom>
      <diagonal/>
    </border>
    <border>
      <left/>
      <right/>
      <top style="medium">
        <color rgb="FFB45F06"/>
      </top>
      <bottom style="medium">
        <color rgb="FFB45F06"/>
      </bottom>
      <diagonal/>
    </border>
    <border>
      <left/>
      <right style="medium">
        <color rgb="FF3C78D8"/>
      </right>
      <top style="medium">
        <color rgb="FFB45F06"/>
      </top>
      <bottom style="medium">
        <color rgb="FFB45F06"/>
      </bottom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/>
      <right style="thin">
        <color rgb="FF0B5394"/>
      </right>
      <top style="thin">
        <color rgb="FF0B5394"/>
      </top>
      <bottom style="thin">
        <color rgb="FF0B5394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45">
    <xf numFmtId="0" fontId="0" fillId="0" borderId="0" xfId="0" applyFont="1" applyAlignment="1"/>
    <xf numFmtId="0" fontId="1" fillId="2" borderId="0" xfId="0" applyFont="1" applyFill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4" fontId="4" fillId="6" borderId="4" xfId="0" applyNumberFormat="1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7" fillId="7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textRotation="90"/>
    </xf>
    <xf numFmtId="0" fontId="4" fillId="3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5" borderId="3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10" borderId="10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4" fillId="14" borderId="9" xfId="0" applyFont="1" applyFill="1" applyBorder="1" applyAlignment="1">
      <alignment horizontal="center" vertical="center" wrapText="1"/>
    </xf>
    <xf numFmtId="0" fontId="10" fillId="11" borderId="3" xfId="0" applyFont="1" applyFill="1" applyBorder="1" applyAlignment="1">
      <alignment horizontal="center" vertical="center" wrapText="1"/>
    </xf>
    <xf numFmtId="0" fontId="10" fillId="13" borderId="3" xfId="0" applyFont="1" applyFill="1" applyBorder="1" applyAlignment="1">
      <alignment horizontal="center" vertical="center" wrapText="1"/>
    </xf>
    <xf numFmtId="49" fontId="9" fillId="14" borderId="8" xfId="0" applyNumberFormat="1" applyFont="1" applyFill="1" applyBorder="1" applyAlignment="1">
      <alignment horizontal="center" textRotation="90"/>
    </xf>
    <xf numFmtId="0" fontId="9" fillId="14" borderId="11" xfId="0" applyFont="1" applyFill="1" applyBorder="1" applyAlignment="1">
      <alignment horizontal="center" textRotation="90" wrapText="1"/>
    </xf>
    <xf numFmtId="0" fontId="5" fillId="8" borderId="0" xfId="0" applyFont="1" applyFill="1" applyAlignment="1">
      <alignment horizontal="center" wrapText="1"/>
    </xf>
    <xf numFmtId="0" fontId="12" fillId="15" borderId="7" xfId="0" applyFont="1" applyFill="1" applyBorder="1" applyAlignment="1">
      <alignment horizontal="center" wrapText="1"/>
    </xf>
    <xf numFmtId="0" fontId="12" fillId="15" borderId="8" xfId="0" applyFont="1" applyFill="1" applyBorder="1" applyAlignment="1">
      <alignment horizontal="center" wrapText="1"/>
    </xf>
    <xf numFmtId="0" fontId="13" fillId="15" borderId="0" xfId="0" applyFont="1" applyFill="1" applyAlignment="1">
      <alignment horizontal="center" wrapText="1"/>
    </xf>
    <xf numFmtId="49" fontId="14" fillId="15" borderId="8" xfId="0" applyNumberFormat="1" applyFont="1" applyFill="1" applyBorder="1" applyAlignment="1">
      <alignment horizontal="center"/>
    </xf>
    <xf numFmtId="0" fontId="14" fillId="15" borderId="12" xfId="0" applyFont="1" applyFill="1" applyBorder="1" applyAlignment="1">
      <alignment horizontal="center"/>
    </xf>
    <xf numFmtId="0" fontId="14" fillId="15" borderId="0" xfId="0" applyFont="1" applyFill="1" applyAlignment="1">
      <alignment horizontal="center"/>
    </xf>
    <xf numFmtId="0" fontId="2" fillId="0" borderId="0" xfId="0" applyFont="1" applyAlignment="1"/>
    <xf numFmtId="0" fontId="15" fillId="15" borderId="13" xfId="0" applyFont="1" applyFill="1" applyBorder="1"/>
    <xf numFmtId="0" fontId="15" fillId="15" borderId="14" xfId="0" applyFont="1" applyFill="1" applyBorder="1" applyAlignment="1"/>
    <xf numFmtId="2" fontId="15" fillId="15" borderId="14" xfId="0" applyNumberFormat="1" applyFont="1" applyFill="1" applyBorder="1" applyAlignment="1"/>
    <xf numFmtId="4" fontId="15" fillId="15" borderId="14" xfId="0" applyNumberFormat="1" applyFont="1" applyFill="1" applyBorder="1" applyAlignment="1"/>
    <xf numFmtId="49" fontId="15" fillId="15" borderId="14" xfId="0" applyNumberFormat="1" applyFont="1" applyFill="1" applyBorder="1" applyAlignment="1"/>
    <xf numFmtId="0" fontId="15" fillId="15" borderId="12" xfId="0" applyFont="1" applyFill="1" applyBorder="1" applyAlignment="1"/>
    <xf numFmtId="0" fontId="2" fillId="0" borderId="16" xfId="0" applyFont="1" applyBorder="1"/>
    <xf numFmtId="0" fontId="2" fillId="0" borderId="17" xfId="0" applyFont="1" applyBorder="1"/>
    <xf numFmtId="4" fontId="2" fillId="0" borderId="18" xfId="0" applyNumberFormat="1" applyFont="1" applyBorder="1"/>
    <xf numFmtId="43" fontId="2" fillId="0" borderId="16" xfId="1" applyFont="1" applyBorder="1"/>
    <xf numFmtId="4" fontId="6" fillId="12" borderId="5" xfId="0" applyNumberFormat="1" applyFont="1" applyFill="1" applyBorder="1" applyAlignment="1">
      <alignment vertical="center"/>
    </xf>
    <xf numFmtId="0" fontId="2" fillId="0" borderId="6" xfId="0" applyFont="1" applyBorder="1"/>
    <xf numFmtId="49" fontId="5" fillId="9" borderId="5" xfId="0" applyNumberFormat="1" applyFont="1" applyFill="1" applyBorder="1" applyAlignment="1">
      <alignment vertical="center"/>
    </xf>
    <xf numFmtId="0" fontId="2" fillId="0" borderId="5" xfId="0" applyFont="1" applyBorder="1"/>
    <xf numFmtId="0" fontId="3" fillId="3" borderId="15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22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DFDFD"/>
          <bgColor rgb="FFFDFDF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10">
    <tableStyle name="REP_FNDE-style" pivot="0" count="2">
      <tableStyleElement type="firstRowStripe" dxfId="21"/>
      <tableStyleElement type="secondRowStripe" dxfId="20"/>
    </tableStyle>
    <tableStyle name="REP_FNDE-style 2" pivot="0" count="2">
      <tableStyleElement type="firstRowStripe" dxfId="19"/>
      <tableStyleElement type="secondRowStripe" dxfId="18"/>
    </tableStyle>
    <tableStyle name="REP_PNME_-style" pivot="0" count="2">
      <tableStyleElement type="firstRowStripe" dxfId="17"/>
      <tableStyleElement type="secondRowStripe" dxfId="16"/>
    </tableStyle>
    <tableStyle name="REP_PNME_-style 2" pivot="0" count="2">
      <tableStyleElement type="firstRowStripe" dxfId="15"/>
      <tableStyleElement type="secondRowStripe" dxfId="14"/>
    </tableStyle>
    <tableStyle name="REP1-style" pivot="0" count="3">
      <tableStyleElement type="headerRow" dxfId="13"/>
      <tableStyleElement type="firstRowStripe" dxfId="12"/>
      <tableStyleElement type="secondRowStripe" dxfId="11"/>
    </tableStyle>
    <tableStyle name="REP1-style 2" pivot="0" count="2">
      <tableStyleElement type="firstRowStripe" dxfId="10"/>
      <tableStyleElement type="secondRowStripe" dxfId="9"/>
    </tableStyle>
    <tableStyle name="BDADOS-style" pivot="0" count="2">
      <tableStyleElement type="firstRowStripe" dxfId="8"/>
      <tableStyleElement type="secondRowStripe" dxfId="7"/>
    </tableStyle>
    <tableStyle name="BDADOS-style 2" pivot="0" count="3">
      <tableStyleElement type="headerRow" dxfId="6"/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2254250</xdr:colOff>
      <xdr:row>0</xdr:row>
      <xdr:rowOff>150813</xdr:rowOff>
    </xdr:from>
    <xdr:ext cx="1452562" cy="539751"/>
    <xdr:pic>
      <xdr:nvPicPr>
        <xdr:cNvPr id="2" name="image4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4688" y="150813"/>
          <a:ext cx="1452562" cy="539751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4270374</xdr:colOff>
      <xdr:row>1</xdr:row>
      <xdr:rowOff>7938</xdr:rowOff>
    </xdr:from>
    <xdr:ext cx="2720975" cy="555624"/>
    <xdr:pic>
      <xdr:nvPicPr>
        <xdr:cNvPr id="3" name="image1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500812" y="206376"/>
          <a:ext cx="2720975" cy="555624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U28"/>
  <sheetViews>
    <sheetView showGridLines="0" tabSelected="1" view="pageBreakPreview" zoomScale="120" zoomScaleNormal="100" zoomScaleSheetLayoutView="120" workbookViewId="0">
      <pane ySplit="11" topLeftCell="A12" activePane="bottomLeft" state="frozen"/>
      <selection pane="bottomLeft" activeCell="A12" sqref="A12"/>
    </sheetView>
  </sheetViews>
  <sheetFormatPr defaultColWidth="14.42578125" defaultRowHeight="15.75" customHeight="1" x14ac:dyDescent="0.2"/>
  <cols>
    <col min="1" max="1" width="13.28515625" customWidth="1"/>
    <col min="2" max="2" width="20.140625" customWidth="1"/>
    <col min="3" max="3" width="64.42578125" customWidth="1"/>
    <col min="4" max="4" width="16.5703125" customWidth="1"/>
    <col min="5" max="5" width="9.85546875" customWidth="1"/>
    <col min="6" max="6" width="10" customWidth="1"/>
    <col min="7" max="9" width="10.85546875" customWidth="1"/>
    <col min="10" max="10" width="10.42578125" customWidth="1"/>
    <col min="11" max="11" width="12.7109375" customWidth="1"/>
    <col min="12" max="13" width="10.5703125" customWidth="1"/>
    <col min="14" max="14" width="12.140625" customWidth="1"/>
    <col min="15" max="15" width="11.42578125" customWidth="1"/>
    <col min="16" max="16" width="10.5703125" customWidth="1"/>
    <col min="17" max="17" width="6.7109375" customWidth="1"/>
    <col min="18" max="18" width="7.7109375" customWidth="1"/>
    <col min="19" max="19" width="9.7109375" customWidth="1"/>
    <col min="20" max="20" width="11.28515625" customWidth="1"/>
  </cols>
  <sheetData>
    <row r="1" spans="1:21" ht="15.75" customHeight="1" x14ac:dyDescent="0.2">
      <c r="A1" t="s">
        <v>22</v>
      </c>
    </row>
    <row r="2" spans="1:21" ht="15.75" customHeight="1" x14ac:dyDescent="0.2">
      <c r="A2" t="s">
        <v>23</v>
      </c>
    </row>
    <row r="3" spans="1:21" ht="15.75" customHeight="1" x14ac:dyDescent="0.2">
      <c r="A3" t="s">
        <v>24</v>
      </c>
    </row>
    <row r="6" spans="1:21" ht="36" customHeight="1" thickBot="1" x14ac:dyDescent="0.25">
      <c r="A6" s="44" t="s">
        <v>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</row>
    <row r="7" spans="1:21" ht="24" customHeight="1" thickBot="1" x14ac:dyDescent="0.3">
      <c r="A7" s="1"/>
      <c r="B7" s="1"/>
      <c r="C7" s="1"/>
      <c r="D7" s="2" t="s">
        <v>1</v>
      </c>
      <c r="E7" s="3">
        <f t="shared" ref="E7:P7" ca="1" si="0">SUBTOTAL(9,E12:E28)</f>
        <v>0</v>
      </c>
      <c r="F7" s="3">
        <f t="shared" ca="1" si="0"/>
        <v>0</v>
      </c>
      <c r="G7" s="3">
        <f t="shared" ca="1" si="0"/>
        <v>4579.5999999999894</v>
      </c>
      <c r="H7" s="3">
        <f t="shared" ca="1" si="0"/>
        <v>19339.2</v>
      </c>
      <c r="I7" s="3">
        <f t="shared" ca="1" si="0"/>
        <v>1833.7999999999981</v>
      </c>
      <c r="J7" s="3">
        <f t="shared" ca="1" si="0"/>
        <v>2289.7999999999902</v>
      </c>
      <c r="K7" s="3">
        <f t="shared" ca="1" si="0"/>
        <v>7668</v>
      </c>
      <c r="L7" s="3">
        <f t="shared" ca="1" si="0"/>
        <v>6800</v>
      </c>
      <c r="M7" s="3">
        <f t="shared" ca="1" si="0"/>
        <v>0</v>
      </c>
      <c r="N7" s="3">
        <f t="shared" ca="1" si="0"/>
        <v>0</v>
      </c>
      <c r="O7" s="3">
        <f t="shared" ca="1" si="0"/>
        <v>0</v>
      </c>
      <c r="P7" s="3">
        <f t="shared" ca="1" si="0"/>
        <v>1049.5999999999999</v>
      </c>
      <c r="Q7" s="42" t="s">
        <v>21</v>
      </c>
      <c r="R7" s="43"/>
      <c r="S7" s="40">
        <f>SUM(T12:T30)</f>
        <v>43559.999999999978</v>
      </c>
      <c r="T7" s="41"/>
    </row>
    <row r="8" spans="1:21" ht="18" customHeight="1" thickBot="1" x14ac:dyDescent="0.3">
      <c r="A8" s="5"/>
      <c r="B8" s="5"/>
      <c r="C8" s="5"/>
      <c r="D8" s="7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0"/>
      <c r="R8" s="10"/>
      <c r="S8" s="12"/>
    </row>
    <row r="9" spans="1:21" ht="54.75" customHeight="1" thickBot="1" x14ac:dyDescent="0.25">
      <c r="A9" s="4" t="s">
        <v>2</v>
      </c>
      <c r="B9" s="6" t="s">
        <v>3</v>
      </c>
      <c r="C9" s="8" t="str">
        <f ca="1">"UNIDADES EXECUTORAS = " &amp; COUNTA(C12:C28)</f>
        <v>UNIDADES EXECUTORAS = 17</v>
      </c>
      <c r="D9" s="6" t="s">
        <v>4</v>
      </c>
      <c r="E9" s="14" t="s">
        <v>7</v>
      </c>
      <c r="F9" s="14" t="s">
        <v>8</v>
      </c>
      <c r="G9" s="13" t="s">
        <v>5</v>
      </c>
      <c r="H9" s="13" t="s">
        <v>6</v>
      </c>
      <c r="I9" s="15" t="s">
        <v>9</v>
      </c>
      <c r="J9" s="16" t="s">
        <v>10</v>
      </c>
      <c r="K9" s="16" t="s">
        <v>11</v>
      </c>
      <c r="L9" s="17" t="s">
        <v>12</v>
      </c>
      <c r="M9" s="11" t="s">
        <v>13</v>
      </c>
      <c r="N9" s="18" t="s">
        <v>14</v>
      </c>
      <c r="O9" s="18" t="s">
        <v>15</v>
      </c>
      <c r="P9" s="19" t="s">
        <v>16</v>
      </c>
      <c r="Q9" s="20" t="s">
        <v>17</v>
      </c>
      <c r="R9" s="20" t="s">
        <v>18</v>
      </c>
      <c r="S9" s="21" t="s">
        <v>19</v>
      </c>
      <c r="T9" s="22" t="s">
        <v>20</v>
      </c>
    </row>
    <row r="10" spans="1:21" ht="1.5" customHeight="1" thickBot="1" x14ac:dyDescent="0.25">
      <c r="A10" s="23"/>
      <c r="B10" s="24"/>
      <c r="C10" s="24"/>
      <c r="D10" s="24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6"/>
      <c r="R10" s="26"/>
      <c r="S10" s="27"/>
      <c r="T10" s="28"/>
      <c r="U10" s="29"/>
    </row>
    <row r="11" spans="1:21" ht="11.25" customHeight="1" x14ac:dyDescent="0.2">
      <c r="A11" s="30" t="str">
        <f ca="1">IFERROR(__xludf.DUMMYFUNCTION("Query(iRep1,""SELECT A,B,C,D,E,F,G,H,M,N,O,P,Q,R,S,T,U,V,W"")"),"")</f>
        <v/>
      </c>
      <c r="B11" s="31" t="str">
        <f ca="1">IFERROR(__xludf.DUMMYFUNCTION("""COMPUTED_VALUE"""),"")</f>
        <v/>
      </c>
      <c r="C11" s="31" t="str">
        <f ca="1">IFERROR(__xludf.DUMMYFUNCTION("""COMPUTED_VALUE"""),"")</f>
        <v/>
      </c>
      <c r="D11" s="31" t="str">
        <f ca="1">IFERROR(__xludf.DUMMYFUNCTION("""COMPUTED_VALUE"""),"")</f>
        <v/>
      </c>
      <c r="E11" s="32" t="str">
        <f ca="1">IFERROR(__xludf.DUMMYFUNCTION("""COMPUTED_VALUE"""),"product(21.4())")</f>
        <v>product(21.4())</v>
      </c>
      <c r="F11" s="33" t="str">
        <f ca="1">IFERROR(__xludf.DUMMYFUNCTION("""COMPUTED_VALUE"""),"product(10.6())")</f>
        <v>product(10.6())</v>
      </c>
      <c r="G11" s="33" t="str">
        <f ca="1">IFERROR(__xludf.DUMMYFUNCTION("""COMPUTED_VALUE"""),"product(21.4())")</f>
        <v>product(21.4())</v>
      </c>
      <c r="H11" s="33" t="str">
        <f ca="1">IFERROR(__xludf.DUMMYFUNCTION("""COMPUTED_VALUE"""),"product(7.2())")</f>
        <v>product(7.2())</v>
      </c>
      <c r="I11" s="33" t="str">
        <f ca="1">IFERROR(__xludf.DUMMYFUNCTION("""COMPUTED_VALUE"""),"product(10.6())")</f>
        <v>product(10.6())</v>
      </c>
      <c r="J11" s="33" t="str">
        <f ca="1">IFERROR(__xludf.DUMMYFUNCTION("""COMPUTED_VALUE"""),"product(21.4())")</f>
        <v>product(21.4())</v>
      </c>
      <c r="K11" s="33" t="str">
        <f ca="1">IFERROR(__xludf.DUMMYFUNCTION("""COMPUTED_VALUE"""),"product(7.2())")</f>
        <v>product(7.2())</v>
      </c>
      <c r="L11" s="33" t="str">
        <f ca="1">IFERROR(__xludf.DUMMYFUNCTION("""COMPUTED_VALUE"""),"product(40())")</f>
        <v>product(40())</v>
      </c>
      <c r="M11" s="33" t="str">
        <f ca="1">IFERROR(__xludf.DUMMYFUNCTION("""COMPUTED_VALUE"""),"product(12.8())")</f>
        <v>product(12.8())</v>
      </c>
      <c r="N11" s="33" t="str">
        <f ca="1">IFERROR(__xludf.DUMMYFUNCTION("""COMPUTED_VALUE"""),"product(21.4())")</f>
        <v>product(21.4())</v>
      </c>
      <c r="O11" s="33" t="str">
        <f ca="1">IFERROR(__xludf.DUMMYFUNCTION("""COMPUTED_VALUE"""),"product(12.8())")</f>
        <v>product(12.8())</v>
      </c>
      <c r="P11" s="33" t="str">
        <f ca="1">IFERROR(__xludf.DUMMYFUNCTION("""COMPUTED_VALUE"""),"product(6.4())")</f>
        <v>product(6.4())</v>
      </c>
      <c r="Q11" s="34" t="str">
        <f ca="1">IFERROR(__xludf.DUMMYFUNCTION("""COMPUTED_VALUE"""),"")</f>
        <v/>
      </c>
      <c r="R11" s="34" t="str">
        <f ca="1">IFERROR(__xludf.DUMMYFUNCTION("""COMPUTED_VALUE"""),"")</f>
        <v/>
      </c>
      <c r="S11" s="35" t="str">
        <f ca="1">IFERROR(__xludf.DUMMYFUNCTION("""COMPUTED_VALUE"""),"")</f>
        <v/>
      </c>
      <c r="T11" s="33"/>
      <c r="U11" s="29"/>
    </row>
    <row r="12" spans="1:21" ht="12.75" x14ac:dyDescent="0.2">
      <c r="A12" s="37" t="str">
        <f ca="1">IFERROR(__xludf.DUMMYFUNCTION("""COMPUTED_VALUE"""),"Arraias")</f>
        <v>Arraias</v>
      </c>
      <c r="B12" s="36" t="str">
        <f ca="1">IFERROR(__xludf.DUMMYFUNCTION("""COMPUTED_VALUE"""),"Arraias")</f>
        <v>Arraias</v>
      </c>
      <c r="C12" s="36" t="str">
        <f ca="1">IFERROR(__xludf.DUMMYFUNCTION("""COMPUTED_VALUE"""),"A. E. COM.COL EST PROFA. JOANA B. CORDEIRO")</f>
        <v>A. E. COM.COL EST PROFA. JOANA B. CORDEIRO</v>
      </c>
      <c r="D12" s="36" t="str">
        <f ca="1">IFERROR(__xludf.DUMMYFUNCTION("""COMPUTED_VALUE"""),"00922190000102")</f>
        <v>00922190000102</v>
      </c>
      <c r="E12" s="39">
        <f ca="1">IFERROR(__xludf.DUMMYFUNCTION("""COMPUTED_VALUE"""),0)</f>
        <v>0</v>
      </c>
      <c r="F12" s="39">
        <f ca="1">IFERROR(__xludf.DUMMYFUNCTION("""COMPUTED_VALUE"""),0)</f>
        <v>0</v>
      </c>
      <c r="G12" s="39">
        <f ca="1">IFERROR(__xludf.DUMMYFUNCTION("""COMPUTED_VALUE"""),0)</f>
        <v>0</v>
      </c>
      <c r="H12" s="39">
        <f ca="1">IFERROR(__xludf.DUMMYFUNCTION("""COMPUTED_VALUE"""),0)</f>
        <v>0</v>
      </c>
      <c r="I12" s="39">
        <f ca="1">IFERROR(__xludf.DUMMYFUNCTION("""COMPUTED_VALUE"""),84.8)</f>
        <v>84.8</v>
      </c>
      <c r="J12" s="39">
        <f ca="1">IFERROR(__xludf.DUMMYFUNCTION("""COMPUTED_VALUE"""),0)</f>
        <v>0</v>
      </c>
      <c r="K12" s="39">
        <f ca="1">IFERROR(__xludf.DUMMYFUNCTION("""COMPUTED_VALUE"""),0)</f>
        <v>0</v>
      </c>
      <c r="L12" s="39">
        <f ca="1">IFERROR(__xludf.DUMMYFUNCTION("""COMPUTED_VALUE"""),6800)</f>
        <v>6800</v>
      </c>
      <c r="M12" s="39">
        <f ca="1">IFERROR(__xludf.DUMMYFUNCTION("""COMPUTED_VALUE"""),0)</f>
        <v>0</v>
      </c>
      <c r="N12" s="39">
        <f ca="1">IFERROR(__xludf.DUMMYFUNCTION("""COMPUTED_VALUE"""),0)</f>
        <v>0</v>
      </c>
      <c r="O12" s="39">
        <f ca="1">IFERROR(__xludf.DUMMYFUNCTION("""COMPUTED_VALUE"""),0)</f>
        <v>0</v>
      </c>
      <c r="P12" s="39">
        <f ca="1">IFERROR(__xludf.DUMMYFUNCTION("""COMPUTED_VALUE"""),0)</f>
        <v>0</v>
      </c>
      <c r="Q12" s="39" t="str">
        <f ca="1">IFERROR(__xludf.DUMMYFUNCTION("""COMPUTED_VALUE"""),"001")</f>
        <v>001</v>
      </c>
      <c r="R12" s="39" t="str">
        <f ca="1">IFERROR(__xludf.DUMMYFUNCTION("""COMPUTED_VALUE"""),"0541")</f>
        <v>0541</v>
      </c>
      <c r="S12" s="39" t="str">
        <f ca="1">IFERROR(__xludf.DUMMYFUNCTION("""COMPUTED_VALUE"""),"231770")</f>
        <v>231770</v>
      </c>
      <c r="T12" s="38">
        <v>6884.8</v>
      </c>
    </row>
    <row r="13" spans="1:21" ht="12.75" x14ac:dyDescent="0.2">
      <c r="A13" s="37" t="str">
        <f ca="1">IFERROR(__xludf.DUMMYFUNCTION("""COMPUTED_VALUE"""),"Arraias")</f>
        <v>Arraias</v>
      </c>
      <c r="B13" s="36" t="str">
        <f ca="1">IFERROR(__xludf.DUMMYFUNCTION("""COMPUTED_VALUE"""),"Arraias")</f>
        <v>Arraias</v>
      </c>
      <c r="C13" s="36" t="str">
        <f ca="1">IFERROR(__xludf.DUMMYFUNCTION("""COMPUTED_VALUE"""),"A.A. ESC. AGRÍCOLA DAVID AIRES FRANÇA")</f>
        <v>A.A. ESC. AGRÍCOLA DAVID AIRES FRANÇA</v>
      </c>
      <c r="D13" s="36" t="str">
        <f ca="1">IFERROR(__xludf.DUMMYFUNCTION("""COMPUTED_VALUE"""),"04302970000100")</f>
        <v>04302970000100</v>
      </c>
      <c r="E13" s="39">
        <f ca="1">IFERROR(__xludf.DUMMYFUNCTION("""COMPUTED_VALUE"""),0)</f>
        <v>0</v>
      </c>
      <c r="F13" s="39">
        <f ca="1">IFERROR(__xludf.DUMMYFUNCTION("""COMPUTED_VALUE"""),0)</f>
        <v>0</v>
      </c>
      <c r="G13" s="39">
        <f ca="1">IFERROR(__xludf.DUMMYFUNCTION("""COMPUTED_VALUE"""),813.199999999999)</f>
        <v>813.19999999999902</v>
      </c>
      <c r="H13" s="39">
        <f ca="1">IFERROR(__xludf.DUMMYFUNCTION("""COMPUTED_VALUE"""),0)</f>
        <v>0</v>
      </c>
      <c r="I13" s="39">
        <f ca="1">IFERROR(__xludf.DUMMYFUNCTION("""COMPUTED_VALUE"""),127.199999999999)</f>
        <v>127.19999999999899</v>
      </c>
      <c r="J13" s="39">
        <f ca="1">IFERROR(__xludf.DUMMYFUNCTION("""COMPUTED_VALUE"""),2289.79999999999)</f>
        <v>2289.7999999999902</v>
      </c>
      <c r="K13" s="39">
        <f ca="1">IFERROR(__xludf.DUMMYFUNCTION("""COMPUTED_VALUE"""),0)</f>
        <v>0</v>
      </c>
      <c r="L13" s="39">
        <f ca="1">IFERROR(__xludf.DUMMYFUNCTION("""COMPUTED_VALUE"""),0)</f>
        <v>0</v>
      </c>
      <c r="M13" s="39">
        <f ca="1">IFERROR(__xludf.DUMMYFUNCTION("""COMPUTED_VALUE"""),0)</f>
        <v>0</v>
      </c>
      <c r="N13" s="39">
        <f ca="1">IFERROR(__xludf.DUMMYFUNCTION("""COMPUTED_VALUE"""),0)</f>
        <v>0</v>
      </c>
      <c r="O13" s="39">
        <f ca="1">IFERROR(__xludf.DUMMYFUNCTION("""COMPUTED_VALUE"""),0)</f>
        <v>0</v>
      </c>
      <c r="P13" s="39">
        <f ca="1">IFERROR(__xludf.DUMMYFUNCTION("""COMPUTED_VALUE"""),0)</f>
        <v>0</v>
      </c>
      <c r="Q13" s="39" t="str">
        <f ca="1">IFERROR(__xludf.DUMMYFUNCTION("""COMPUTED_VALUE"""),"001")</f>
        <v>001</v>
      </c>
      <c r="R13" s="39" t="str">
        <f ca="1">IFERROR(__xludf.DUMMYFUNCTION("""COMPUTED_VALUE"""),"0541")</f>
        <v>0541</v>
      </c>
      <c r="S13" s="39" t="str">
        <f ca="1">IFERROR(__xludf.DUMMYFUNCTION("""COMPUTED_VALUE"""),"94811")</f>
        <v>94811</v>
      </c>
      <c r="T13" s="38">
        <v>3230.199999999988</v>
      </c>
    </row>
    <row r="14" spans="1:21" ht="12.75" x14ac:dyDescent="0.2">
      <c r="A14" s="37" t="str">
        <f ca="1">IFERROR(__xludf.DUMMYFUNCTION("""COMPUTED_VALUE"""),"Arraias")</f>
        <v>Arraias</v>
      </c>
      <c r="B14" s="36" t="str">
        <f ca="1">IFERROR(__xludf.DUMMYFUNCTION("""COMPUTED_VALUE"""),"Arraias")</f>
        <v>Arraias</v>
      </c>
      <c r="C14" s="36" t="str">
        <f ca="1">IFERROR(__xludf.DUMMYFUNCTION("""COMPUTED_VALUE"""),"A.A. ESCOL. DA ESC. EST. BRIGADEIRO FELIPE")</f>
        <v>A.A. ESCOL. DA ESC. EST. BRIGADEIRO FELIPE</v>
      </c>
      <c r="D14" s="36" t="str">
        <f ca="1">IFERROR(__xludf.DUMMYFUNCTION("""COMPUTED_VALUE"""),"01221149000163")</f>
        <v>01221149000163</v>
      </c>
      <c r="E14" s="39">
        <f ca="1">IFERROR(__xludf.DUMMYFUNCTION("""COMPUTED_VALUE"""),0)</f>
        <v>0</v>
      </c>
      <c r="F14" s="39">
        <f ca="1">IFERROR(__xludf.DUMMYFUNCTION("""COMPUTED_VALUE"""),0)</f>
        <v>0</v>
      </c>
      <c r="G14" s="39">
        <f ca="1">IFERROR(__xludf.DUMMYFUNCTION("""COMPUTED_VALUE"""),0)</f>
        <v>0</v>
      </c>
      <c r="H14" s="39">
        <f ca="1">IFERROR(__xludf.DUMMYFUNCTION("""COMPUTED_VALUE"""),741.6)</f>
        <v>741.6</v>
      </c>
      <c r="I14" s="39">
        <f ca="1">IFERROR(__xludf.DUMMYFUNCTION("""COMPUTED_VALUE"""),127.199999999999)</f>
        <v>127.19999999999899</v>
      </c>
      <c r="J14" s="39">
        <f ca="1">IFERROR(__xludf.DUMMYFUNCTION("""COMPUTED_VALUE"""),0)</f>
        <v>0</v>
      </c>
      <c r="K14" s="39">
        <f ca="1">IFERROR(__xludf.DUMMYFUNCTION("""COMPUTED_VALUE"""),950.4)</f>
        <v>950.4</v>
      </c>
      <c r="L14" s="39">
        <f ca="1">IFERROR(__xludf.DUMMYFUNCTION("""COMPUTED_VALUE"""),0)</f>
        <v>0</v>
      </c>
      <c r="M14" s="39">
        <f ca="1">IFERROR(__xludf.DUMMYFUNCTION("""COMPUTED_VALUE"""),0)</f>
        <v>0</v>
      </c>
      <c r="N14" s="39">
        <f ca="1">IFERROR(__xludf.DUMMYFUNCTION("""COMPUTED_VALUE"""),0)</f>
        <v>0</v>
      </c>
      <c r="O14" s="39">
        <f ca="1">IFERROR(__xludf.DUMMYFUNCTION("""COMPUTED_VALUE"""),0)</f>
        <v>0</v>
      </c>
      <c r="P14" s="39">
        <f ca="1">IFERROR(__xludf.DUMMYFUNCTION("""COMPUTED_VALUE"""),0)</f>
        <v>0</v>
      </c>
      <c r="Q14" s="39" t="str">
        <f ca="1">IFERROR(__xludf.DUMMYFUNCTION("""COMPUTED_VALUE"""),"001")</f>
        <v>001</v>
      </c>
      <c r="R14" s="39" t="str">
        <f ca="1">IFERROR(__xludf.DUMMYFUNCTION("""COMPUTED_VALUE"""),"0541")</f>
        <v>0541</v>
      </c>
      <c r="S14" s="39" t="str">
        <f ca="1">IFERROR(__xludf.DUMMYFUNCTION("""COMPUTED_VALUE"""),"232165")</f>
        <v>232165</v>
      </c>
      <c r="T14" s="38">
        <v>1819.1999999999989</v>
      </c>
    </row>
    <row r="15" spans="1:21" ht="12.75" x14ac:dyDescent="0.2">
      <c r="A15" s="37" t="str">
        <f ca="1">IFERROR(__xludf.DUMMYFUNCTION("""COMPUTED_VALUE"""),"Arraias")</f>
        <v>Arraias</v>
      </c>
      <c r="B15" s="36" t="str">
        <f ca="1">IFERROR(__xludf.DUMMYFUNCTION("""COMPUTED_VALUE"""),"Arraias")</f>
        <v>Arraias</v>
      </c>
      <c r="C15" s="36" t="str">
        <f ca="1">IFERROR(__xludf.DUMMYFUNCTION("""COMPUTED_VALUE"""),"ASS. APOIO ESC. EST. JACY ALVES DE BARROS")</f>
        <v>ASS. APOIO ESC. EST. JACY ALVES DE BARROS</v>
      </c>
      <c r="D15" s="36" t="str">
        <f ca="1">IFERROR(__xludf.DUMMYFUNCTION("""COMPUTED_VALUE"""),"01284634000186")</f>
        <v>01284634000186</v>
      </c>
      <c r="E15" s="39">
        <f ca="1">IFERROR(__xludf.DUMMYFUNCTION("""COMPUTED_VALUE"""),0)</f>
        <v>0</v>
      </c>
      <c r="F15" s="39">
        <f ca="1">IFERROR(__xludf.DUMMYFUNCTION("""COMPUTED_VALUE"""),0)</f>
        <v>0</v>
      </c>
      <c r="G15" s="39">
        <f ca="1">IFERROR(__xludf.DUMMYFUNCTION("""COMPUTED_VALUE"""),0)</f>
        <v>0</v>
      </c>
      <c r="H15" s="39">
        <f ca="1">IFERROR(__xludf.DUMMYFUNCTION("""COMPUTED_VALUE"""),2160)</f>
        <v>2160</v>
      </c>
      <c r="I15" s="39">
        <f ca="1">IFERROR(__xludf.DUMMYFUNCTION("""COMPUTED_VALUE"""),53)</f>
        <v>53</v>
      </c>
      <c r="J15" s="39">
        <f ca="1">IFERROR(__xludf.DUMMYFUNCTION("""COMPUTED_VALUE"""),0)</f>
        <v>0</v>
      </c>
      <c r="K15" s="39">
        <f ca="1">IFERROR(__xludf.DUMMYFUNCTION("""COMPUTED_VALUE"""),0)</f>
        <v>0</v>
      </c>
      <c r="L15" s="39">
        <f ca="1">IFERROR(__xludf.DUMMYFUNCTION("""COMPUTED_VALUE"""),0)</f>
        <v>0</v>
      </c>
      <c r="M15" s="39">
        <f ca="1">IFERROR(__xludf.DUMMYFUNCTION("""COMPUTED_VALUE"""),0)</f>
        <v>0</v>
      </c>
      <c r="N15" s="39">
        <f ca="1">IFERROR(__xludf.DUMMYFUNCTION("""COMPUTED_VALUE"""),0)</f>
        <v>0</v>
      </c>
      <c r="O15" s="39">
        <f ca="1">IFERROR(__xludf.DUMMYFUNCTION("""COMPUTED_VALUE"""),0)</f>
        <v>0</v>
      </c>
      <c r="P15" s="39">
        <f ca="1">IFERROR(__xludf.DUMMYFUNCTION("""COMPUTED_VALUE"""),0)</f>
        <v>0</v>
      </c>
      <c r="Q15" s="39" t="str">
        <f ca="1">IFERROR(__xludf.DUMMYFUNCTION("""COMPUTED_VALUE"""),"001")</f>
        <v>001</v>
      </c>
      <c r="R15" s="39" t="str">
        <f ca="1">IFERROR(__xludf.DUMMYFUNCTION("""COMPUTED_VALUE"""),"0541")</f>
        <v>0541</v>
      </c>
      <c r="S15" s="39" t="str">
        <f ca="1">IFERROR(__xludf.DUMMYFUNCTION("""COMPUTED_VALUE"""),"232246")</f>
        <v>232246</v>
      </c>
      <c r="T15" s="38">
        <v>2213</v>
      </c>
    </row>
    <row r="16" spans="1:21" ht="12.75" x14ac:dyDescent="0.2">
      <c r="A16" s="37" t="str">
        <f ca="1">IFERROR(__xludf.DUMMYFUNCTION("""COMPUTED_VALUE"""),"Arraias")</f>
        <v>Arraias</v>
      </c>
      <c r="B16" s="36" t="str">
        <f ca="1">IFERROR(__xludf.DUMMYFUNCTION("""COMPUTED_VALUE"""),"Arraias")</f>
        <v>Arraias</v>
      </c>
      <c r="C16" s="36" t="str">
        <f ca="1">IFERROR(__xludf.DUMMYFUNCTION("""COMPUTED_VALUE"""),"A.A. ESCOLA ESTADUAL CANABRAVA/ZULMIRA MAGALHÃES")</f>
        <v>A.A. ESCOLA ESTADUAL CANABRAVA/ZULMIRA MAGALHÃES</v>
      </c>
      <c r="D16" s="36" t="str">
        <f ca="1">IFERROR(__xludf.DUMMYFUNCTION("""COMPUTED_VALUE"""),"01284633000131")</f>
        <v>01284633000131</v>
      </c>
      <c r="E16" s="39">
        <f ca="1">IFERROR(__xludf.DUMMYFUNCTION("""COMPUTED_VALUE"""),0)</f>
        <v>0</v>
      </c>
      <c r="F16" s="39">
        <f ca="1">IFERROR(__xludf.DUMMYFUNCTION("""COMPUTED_VALUE"""),0)</f>
        <v>0</v>
      </c>
      <c r="G16" s="39">
        <f ca="1">IFERROR(__xludf.DUMMYFUNCTION("""COMPUTED_VALUE"""),0)</f>
        <v>0</v>
      </c>
      <c r="H16" s="39">
        <f ca="1">IFERROR(__xludf.DUMMYFUNCTION("""COMPUTED_VALUE"""),784.8)</f>
        <v>784.8</v>
      </c>
      <c r="I16" s="39">
        <f ca="1">IFERROR(__xludf.DUMMYFUNCTION("""COMPUTED_VALUE"""),159)</f>
        <v>159</v>
      </c>
      <c r="J16" s="39">
        <f ca="1">IFERROR(__xludf.DUMMYFUNCTION("""COMPUTED_VALUE"""),0)</f>
        <v>0</v>
      </c>
      <c r="K16" s="39">
        <f ca="1">IFERROR(__xludf.DUMMYFUNCTION("""COMPUTED_VALUE"""),518.4)</f>
        <v>518.4</v>
      </c>
      <c r="L16" s="39">
        <f ca="1">IFERROR(__xludf.DUMMYFUNCTION("""COMPUTED_VALUE"""),0)</f>
        <v>0</v>
      </c>
      <c r="M16" s="39">
        <f ca="1">IFERROR(__xludf.DUMMYFUNCTION("""COMPUTED_VALUE"""),0)</f>
        <v>0</v>
      </c>
      <c r="N16" s="39">
        <f ca="1">IFERROR(__xludf.DUMMYFUNCTION("""COMPUTED_VALUE"""),0)</f>
        <v>0</v>
      </c>
      <c r="O16" s="39">
        <f ca="1">IFERROR(__xludf.DUMMYFUNCTION("""COMPUTED_VALUE"""),0)</f>
        <v>0</v>
      </c>
      <c r="P16" s="39">
        <f ca="1">IFERROR(__xludf.DUMMYFUNCTION("""COMPUTED_VALUE"""),0)</f>
        <v>0</v>
      </c>
      <c r="Q16" s="39" t="str">
        <f ca="1">IFERROR(__xludf.DUMMYFUNCTION("""COMPUTED_VALUE"""),"001")</f>
        <v>001</v>
      </c>
      <c r="R16" s="39" t="str">
        <f ca="1">IFERROR(__xludf.DUMMYFUNCTION("""COMPUTED_VALUE"""),"0541")</f>
        <v>0541</v>
      </c>
      <c r="S16" s="39" t="str">
        <f ca="1">IFERROR(__xludf.DUMMYFUNCTION("""COMPUTED_VALUE"""),"23219X")</f>
        <v>23219X</v>
      </c>
      <c r="T16" s="38">
        <v>1462.1999999999998</v>
      </c>
    </row>
    <row r="17" spans="1:20" ht="12.75" x14ac:dyDescent="0.2">
      <c r="A17" s="37" t="str">
        <f ca="1">IFERROR(__xludf.DUMMYFUNCTION("""COMPUTED_VALUE"""),"Arraias")</f>
        <v>Arraias</v>
      </c>
      <c r="B17" s="36" t="str">
        <f ca="1">IFERROR(__xludf.DUMMYFUNCTION("""COMPUTED_VALUE"""),"Arraias")</f>
        <v>Arraias</v>
      </c>
      <c r="C17" s="36" t="str">
        <f ca="1">IFERROR(__xludf.DUMMYFUNCTION("""COMPUTED_VALUE"""),"A.A. ESCOLAR DA ESC. EST. SILVA DOURADO")</f>
        <v>A.A. ESCOLAR DA ESC. EST. SILVA DOURADO</v>
      </c>
      <c r="D17" s="36" t="str">
        <f ca="1">IFERROR(__xludf.DUMMYFUNCTION("""COMPUTED_VALUE"""),"01301519000172")</f>
        <v>01301519000172</v>
      </c>
      <c r="E17" s="39">
        <f ca="1">IFERROR(__xludf.DUMMYFUNCTION("""COMPUTED_VALUE"""),0)</f>
        <v>0</v>
      </c>
      <c r="F17" s="39">
        <f ca="1">IFERROR(__xludf.DUMMYFUNCTION("""COMPUTED_VALUE"""),0)</f>
        <v>0</v>
      </c>
      <c r="G17" s="39">
        <f ca="1">IFERROR(__xludf.DUMMYFUNCTION("""COMPUTED_VALUE"""),0)</f>
        <v>0</v>
      </c>
      <c r="H17" s="39">
        <f ca="1">IFERROR(__xludf.DUMMYFUNCTION("""COMPUTED_VALUE"""),1015.2)</f>
        <v>1015.2</v>
      </c>
      <c r="I17" s="39">
        <f ca="1">IFERROR(__xludf.DUMMYFUNCTION("""COMPUTED_VALUE"""),180.2)</f>
        <v>180.2</v>
      </c>
      <c r="J17" s="39">
        <f ca="1">IFERROR(__xludf.DUMMYFUNCTION("""COMPUTED_VALUE"""),0)</f>
        <v>0</v>
      </c>
      <c r="K17" s="39">
        <f ca="1">IFERROR(__xludf.DUMMYFUNCTION("""COMPUTED_VALUE"""),151.2)</f>
        <v>151.19999999999999</v>
      </c>
      <c r="L17" s="39">
        <f ca="1">IFERROR(__xludf.DUMMYFUNCTION("""COMPUTED_VALUE"""),0)</f>
        <v>0</v>
      </c>
      <c r="M17" s="39">
        <f ca="1">IFERROR(__xludf.DUMMYFUNCTION("""COMPUTED_VALUE"""),0)</f>
        <v>0</v>
      </c>
      <c r="N17" s="39">
        <f ca="1">IFERROR(__xludf.DUMMYFUNCTION("""COMPUTED_VALUE"""),0)</f>
        <v>0</v>
      </c>
      <c r="O17" s="39">
        <f ca="1">IFERROR(__xludf.DUMMYFUNCTION("""COMPUTED_VALUE"""),0)</f>
        <v>0</v>
      </c>
      <c r="P17" s="39">
        <f ca="1">IFERROR(__xludf.DUMMYFUNCTION("""COMPUTED_VALUE"""),409.6)</f>
        <v>409.6</v>
      </c>
      <c r="Q17" s="39" t="str">
        <f ca="1">IFERROR(__xludf.DUMMYFUNCTION("""COMPUTED_VALUE"""),"001")</f>
        <v>001</v>
      </c>
      <c r="R17" s="39" t="str">
        <f ca="1">IFERROR(__xludf.DUMMYFUNCTION("""COMPUTED_VALUE"""),"0541")</f>
        <v>0541</v>
      </c>
      <c r="S17" s="39" t="str">
        <f ca="1">IFERROR(__xludf.DUMMYFUNCTION("""COMPUTED_VALUE"""),"232297")</f>
        <v>232297</v>
      </c>
      <c r="T17" s="38">
        <v>1756.2000000000003</v>
      </c>
    </row>
    <row r="18" spans="1:20" ht="12.75" x14ac:dyDescent="0.2">
      <c r="A18" s="37" t="str">
        <f ca="1">IFERROR(__xludf.DUMMYFUNCTION("""COMPUTED_VALUE"""),"Arraias")</f>
        <v>Arraias</v>
      </c>
      <c r="B18" s="36" t="str">
        <f ca="1">IFERROR(__xludf.DUMMYFUNCTION("""COMPUTED_VALUE"""),"Aurora do Tocantins")</f>
        <v>Aurora do Tocantins</v>
      </c>
      <c r="C18" s="36" t="str">
        <f ca="1">IFERROR(__xludf.DUMMYFUNCTION("""COMPUTED_VALUE"""),"A.A. A ESCOLA/COL. EST.PROF. RANULFA")</f>
        <v>A.A. A ESCOLA/COL. EST.PROF. RANULFA</v>
      </c>
      <c r="D18" s="36" t="str">
        <f ca="1">IFERROR(__xludf.DUMMYFUNCTION("""COMPUTED_VALUE"""),"01133691000164")</f>
        <v>01133691000164</v>
      </c>
      <c r="E18" s="39">
        <f ca="1">IFERROR(__xludf.DUMMYFUNCTION("""COMPUTED_VALUE"""),0)</f>
        <v>0</v>
      </c>
      <c r="F18" s="39">
        <f ca="1">IFERROR(__xludf.DUMMYFUNCTION("""COMPUTED_VALUE"""),0)</f>
        <v>0</v>
      </c>
      <c r="G18" s="39">
        <f ca="1">IFERROR(__xludf.DUMMYFUNCTION("""COMPUTED_VALUE"""),0)</f>
        <v>0</v>
      </c>
      <c r="H18" s="39">
        <f ca="1">IFERROR(__xludf.DUMMYFUNCTION("""COMPUTED_VALUE"""),1699.2)</f>
        <v>1699.2</v>
      </c>
      <c r="I18" s="39">
        <f ca="1">IFERROR(__xludf.DUMMYFUNCTION("""COMPUTED_VALUE"""),169.6)</f>
        <v>169.6</v>
      </c>
      <c r="J18" s="39">
        <f ca="1">IFERROR(__xludf.DUMMYFUNCTION("""COMPUTED_VALUE"""),0)</f>
        <v>0</v>
      </c>
      <c r="K18" s="39">
        <f ca="1">IFERROR(__xludf.DUMMYFUNCTION("""COMPUTED_VALUE"""),986.4)</f>
        <v>986.4</v>
      </c>
      <c r="L18" s="39">
        <f ca="1">IFERROR(__xludf.DUMMYFUNCTION("""COMPUTED_VALUE"""),0)</f>
        <v>0</v>
      </c>
      <c r="M18" s="39">
        <f ca="1">IFERROR(__xludf.DUMMYFUNCTION("""COMPUTED_VALUE"""),0)</f>
        <v>0</v>
      </c>
      <c r="N18" s="39">
        <f ca="1">IFERROR(__xludf.DUMMYFUNCTION("""COMPUTED_VALUE"""),0)</f>
        <v>0</v>
      </c>
      <c r="O18" s="39">
        <f ca="1">IFERROR(__xludf.DUMMYFUNCTION("""COMPUTED_VALUE"""),0)</f>
        <v>0</v>
      </c>
      <c r="P18" s="39">
        <f ca="1">IFERROR(__xludf.DUMMYFUNCTION("""COMPUTED_VALUE"""),0)</f>
        <v>0</v>
      </c>
      <c r="Q18" s="39" t="str">
        <f ca="1">IFERROR(__xludf.DUMMYFUNCTION("""COMPUTED_VALUE"""),"001")</f>
        <v>001</v>
      </c>
      <c r="R18" s="39" t="str">
        <f ca="1">IFERROR(__xludf.DUMMYFUNCTION("""COMPUTED_VALUE"""),"3977")</f>
        <v>3977</v>
      </c>
      <c r="S18" s="39" t="str">
        <f ca="1">IFERROR(__xludf.DUMMYFUNCTION("""COMPUTED_VALUE"""),"102725")</f>
        <v>102725</v>
      </c>
      <c r="T18" s="38">
        <v>2855.2</v>
      </c>
    </row>
    <row r="19" spans="1:20" ht="12.75" x14ac:dyDescent="0.2">
      <c r="A19" s="37" t="str">
        <f ca="1">IFERROR(__xludf.DUMMYFUNCTION("""COMPUTED_VALUE"""),"Arraias")</f>
        <v>Arraias</v>
      </c>
      <c r="B19" s="36" t="str">
        <f ca="1">IFERROR(__xludf.DUMMYFUNCTION("""COMPUTED_VALUE"""),"Aurora do Tocantins")</f>
        <v>Aurora do Tocantins</v>
      </c>
      <c r="C19" s="36" t="str">
        <f ca="1">IFERROR(__xludf.DUMMYFUNCTION("""COMPUTED_VALUE"""),"ASS. APOIO ESCOLA ESTADUAL DONA INES")</f>
        <v>ASS. APOIO ESCOLA ESTADUAL DONA INES</v>
      </c>
      <c r="D19" s="36" t="str">
        <f ca="1">IFERROR(__xludf.DUMMYFUNCTION("""COMPUTED_VALUE"""),"01190419000116")</f>
        <v>01190419000116</v>
      </c>
      <c r="E19" s="39">
        <f ca="1">IFERROR(__xludf.DUMMYFUNCTION("""COMPUTED_VALUE"""),0)</f>
        <v>0</v>
      </c>
      <c r="F19" s="39">
        <f ca="1">IFERROR(__xludf.DUMMYFUNCTION("""COMPUTED_VALUE"""),0)</f>
        <v>0</v>
      </c>
      <c r="G19" s="39">
        <f ca="1">IFERROR(__xludf.DUMMYFUNCTION("""COMPUTED_VALUE"""),0)</f>
        <v>0</v>
      </c>
      <c r="H19" s="39">
        <f ca="1">IFERROR(__xludf.DUMMYFUNCTION("""COMPUTED_VALUE"""),1022.4)</f>
        <v>1022.4</v>
      </c>
      <c r="I19" s="39">
        <f ca="1">IFERROR(__xludf.DUMMYFUNCTION("""COMPUTED_VALUE"""),0)</f>
        <v>0</v>
      </c>
      <c r="J19" s="39">
        <f ca="1">IFERROR(__xludf.DUMMYFUNCTION("""COMPUTED_VALUE"""),0)</f>
        <v>0</v>
      </c>
      <c r="K19" s="39">
        <f ca="1">IFERROR(__xludf.DUMMYFUNCTION("""COMPUTED_VALUE"""),0)</f>
        <v>0</v>
      </c>
      <c r="L19" s="39">
        <f ca="1">IFERROR(__xludf.DUMMYFUNCTION("""COMPUTED_VALUE"""),0)</f>
        <v>0</v>
      </c>
      <c r="M19" s="39">
        <f ca="1">IFERROR(__xludf.DUMMYFUNCTION("""COMPUTED_VALUE"""),0)</f>
        <v>0</v>
      </c>
      <c r="N19" s="39">
        <f ca="1">IFERROR(__xludf.DUMMYFUNCTION("""COMPUTED_VALUE"""),0)</f>
        <v>0</v>
      </c>
      <c r="O19" s="39">
        <f ca="1">IFERROR(__xludf.DUMMYFUNCTION("""COMPUTED_VALUE"""),0)</f>
        <v>0</v>
      </c>
      <c r="P19" s="39">
        <f ca="1">IFERROR(__xludf.DUMMYFUNCTION("""COMPUTED_VALUE"""),0)</f>
        <v>0</v>
      </c>
      <c r="Q19" s="39" t="str">
        <f ca="1">IFERROR(__xludf.DUMMYFUNCTION("""COMPUTED_VALUE"""),"001")</f>
        <v>001</v>
      </c>
      <c r="R19" s="39" t="str">
        <f ca="1">IFERROR(__xludf.DUMMYFUNCTION("""COMPUTED_VALUE"""),"3977")</f>
        <v>3977</v>
      </c>
      <c r="S19" s="39" t="str">
        <f ca="1">IFERROR(__xludf.DUMMYFUNCTION("""COMPUTED_VALUE"""),"109703")</f>
        <v>109703</v>
      </c>
      <c r="T19" s="38">
        <v>1022.4</v>
      </c>
    </row>
    <row r="20" spans="1:20" ht="12.75" x14ac:dyDescent="0.2">
      <c r="A20" s="37" t="str">
        <f ca="1">IFERROR(__xludf.DUMMYFUNCTION("""COMPUTED_VALUE"""),"Arraias")</f>
        <v>Arraias</v>
      </c>
      <c r="B20" s="36" t="str">
        <f ca="1">IFERROR(__xludf.DUMMYFUNCTION("""COMPUTED_VALUE"""),"Combinado")</f>
        <v>Combinado</v>
      </c>
      <c r="C20" s="36" t="str">
        <f ca="1">IFERROR(__xludf.DUMMYFUNCTION("""COMPUTED_VALUE"""),"A.A. DO COL. E.JOAQUIM DE SENA E SILVA")</f>
        <v>A.A. DO COL. E.JOAQUIM DE SENA E SILVA</v>
      </c>
      <c r="D20" s="36" t="str">
        <f ca="1">IFERROR(__xludf.DUMMYFUNCTION("""COMPUTED_VALUE"""),"01230223000108")</f>
        <v>01230223000108</v>
      </c>
      <c r="E20" s="39">
        <f ca="1">IFERROR(__xludf.DUMMYFUNCTION("""COMPUTED_VALUE"""),0)</f>
        <v>0</v>
      </c>
      <c r="F20" s="39">
        <f ca="1">IFERROR(__xludf.DUMMYFUNCTION("""COMPUTED_VALUE"""),0)</f>
        <v>0</v>
      </c>
      <c r="G20" s="39">
        <f ca="1">IFERROR(__xludf.DUMMYFUNCTION("""COMPUTED_VALUE"""),0)</f>
        <v>0</v>
      </c>
      <c r="H20" s="39">
        <f ca="1">IFERROR(__xludf.DUMMYFUNCTION("""COMPUTED_VALUE"""),0)</f>
        <v>0</v>
      </c>
      <c r="I20" s="39">
        <f ca="1">IFERROR(__xludf.DUMMYFUNCTION("""COMPUTED_VALUE"""),0)</f>
        <v>0</v>
      </c>
      <c r="J20" s="39">
        <f ca="1">IFERROR(__xludf.DUMMYFUNCTION("""COMPUTED_VALUE"""),0)</f>
        <v>0</v>
      </c>
      <c r="K20" s="39">
        <f ca="1">IFERROR(__xludf.DUMMYFUNCTION("""COMPUTED_VALUE"""),1598.4)</f>
        <v>1598.4</v>
      </c>
      <c r="L20" s="39">
        <f ca="1">IFERROR(__xludf.DUMMYFUNCTION("""COMPUTED_VALUE"""),0)</f>
        <v>0</v>
      </c>
      <c r="M20" s="39">
        <f ca="1">IFERROR(__xludf.DUMMYFUNCTION("""COMPUTED_VALUE"""),0)</f>
        <v>0</v>
      </c>
      <c r="N20" s="39">
        <f ca="1">IFERROR(__xludf.DUMMYFUNCTION("""COMPUTED_VALUE"""),0)</f>
        <v>0</v>
      </c>
      <c r="O20" s="39">
        <f ca="1">IFERROR(__xludf.DUMMYFUNCTION("""COMPUTED_VALUE"""),0)</f>
        <v>0</v>
      </c>
      <c r="P20" s="39">
        <f ca="1">IFERROR(__xludf.DUMMYFUNCTION("""COMPUTED_VALUE"""),0)</f>
        <v>0</v>
      </c>
      <c r="Q20" s="39" t="str">
        <f ca="1">IFERROR(__xludf.DUMMYFUNCTION("""COMPUTED_VALUE"""),"001")</f>
        <v>001</v>
      </c>
      <c r="R20" s="39" t="str">
        <f ca="1">IFERROR(__xludf.DUMMYFUNCTION("""COMPUTED_VALUE"""),"3977")</f>
        <v>3977</v>
      </c>
      <c r="S20" s="39" t="str">
        <f ca="1">IFERROR(__xludf.DUMMYFUNCTION("""COMPUTED_VALUE"""),"232106")</f>
        <v>232106</v>
      </c>
      <c r="T20" s="38">
        <v>1598.4</v>
      </c>
    </row>
    <row r="21" spans="1:20" ht="12.75" x14ac:dyDescent="0.2">
      <c r="A21" s="37" t="str">
        <f ca="1">IFERROR(__xludf.DUMMYFUNCTION("""COMPUTED_VALUE"""),"Arraias")</f>
        <v>Arraias</v>
      </c>
      <c r="B21" s="36" t="str">
        <f ca="1">IFERROR(__xludf.DUMMYFUNCTION("""COMPUTED_VALUE"""),"Combinado")</f>
        <v>Combinado</v>
      </c>
      <c r="C21" s="36" t="str">
        <f ca="1">IFERROR(__xludf.DUMMYFUNCTION("""COMPUTED_VALUE"""),"A.A. DA ESCOLA ESTADUAL COMBINADO")</f>
        <v>A.A. DA ESCOLA ESTADUAL COMBINADO</v>
      </c>
      <c r="D21" s="36" t="str">
        <f ca="1">IFERROR(__xludf.DUMMYFUNCTION("""COMPUTED_VALUE"""),"01136003000110")</f>
        <v>01136003000110</v>
      </c>
      <c r="E21" s="39">
        <f ca="1">IFERROR(__xludf.DUMMYFUNCTION("""COMPUTED_VALUE"""),0)</f>
        <v>0</v>
      </c>
      <c r="F21" s="39">
        <f ca="1">IFERROR(__xludf.DUMMYFUNCTION("""COMPUTED_VALUE"""),0)</f>
        <v>0</v>
      </c>
      <c r="G21" s="39">
        <f ca="1">IFERROR(__xludf.DUMMYFUNCTION("""COMPUTED_VALUE"""),3766.39999999999)</f>
        <v>3766.3999999999901</v>
      </c>
      <c r="H21" s="39">
        <f ca="1">IFERROR(__xludf.DUMMYFUNCTION("""COMPUTED_VALUE"""),0)</f>
        <v>0</v>
      </c>
      <c r="I21" s="39">
        <f ca="1">IFERROR(__xludf.DUMMYFUNCTION("""COMPUTED_VALUE"""),296.8)</f>
        <v>296.8</v>
      </c>
      <c r="J21" s="39">
        <f ca="1">IFERROR(__xludf.DUMMYFUNCTION("""COMPUTED_VALUE"""),0)</f>
        <v>0</v>
      </c>
      <c r="K21" s="39">
        <f ca="1">IFERROR(__xludf.DUMMYFUNCTION("""COMPUTED_VALUE"""),0)</f>
        <v>0</v>
      </c>
      <c r="L21" s="39">
        <f ca="1">IFERROR(__xludf.DUMMYFUNCTION("""COMPUTED_VALUE"""),0)</f>
        <v>0</v>
      </c>
      <c r="M21" s="39">
        <f ca="1">IFERROR(__xludf.DUMMYFUNCTION("""COMPUTED_VALUE"""),0)</f>
        <v>0</v>
      </c>
      <c r="N21" s="39">
        <f ca="1">IFERROR(__xludf.DUMMYFUNCTION("""COMPUTED_VALUE"""),0)</f>
        <v>0</v>
      </c>
      <c r="O21" s="39">
        <f ca="1">IFERROR(__xludf.DUMMYFUNCTION("""COMPUTED_VALUE"""),0)</f>
        <v>0</v>
      </c>
      <c r="P21" s="39">
        <f ca="1">IFERROR(__xludf.DUMMYFUNCTION("""COMPUTED_VALUE"""),0)</f>
        <v>0</v>
      </c>
      <c r="Q21" s="39" t="str">
        <f ca="1">IFERROR(__xludf.DUMMYFUNCTION("""COMPUTED_VALUE"""),"001")</f>
        <v>001</v>
      </c>
      <c r="R21" s="39" t="str">
        <f ca="1">IFERROR(__xludf.DUMMYFUNCTION("""COMPUTED_VALUE"""),"3977")</f>
        <v>3977</v>
      </c>
      <c r="S21" s="39" t="str">
        <f ca="1">IFERROR(__xludf.DUMMYFUNCTION("""COMPUTED_VALUE"""),"231940")</f>
        <v>231940</v>
      </c>
      <c r="T21" s="38">
        <v>4063.1999999999903</v>
      </c>
    </row>
    <row r="22" spans="1:20" ht="12.75" x14ac:dyDescent="0.2">
      <c r="A22" s="37" t="str">
        <f ca="1">IFERROR(__xludf.DUMMYFUNCTION("""COMPUTED_VALUE"""),"Arraias")</f>
        <v>Arraias</v>
      </c>
      <c r="B22" s="36" t="str">
        <f ca="1">IFERROR(__xludf.DUMMYFUNCTION("""COMPUTED_VALUE"""),"Combinado")</f>
        <v>Combinado</v>
      </c>
      <c r="C22" s="36" t="str">
        <f ca="1">IFERROR(__xludf.DUMMYFUNCTION("""COMPUTED_VALUE"""),"A.A. ESC. EST. AUGUSTA VAZ DOS S.TEIXEIRA")</f>
        <v>A.A. ESC. EST. AUGUSTA VAZ DOS S.TEIXEIRA</v>
      </c>
      <c r="D22" s="36" t="str">
        <f ca="1">IFERROR(__xludf.DUMMYFUNCTION("""COMPUTED_VALUE"""),"01186458000140")</f>
        <v>01186458000140</v>
      </c>
      <c r="E22" s="39">
        <f ca="1">IFERROR(__xludf.DUMMYFUNCTION("""COMPUTED_VALUE"""),0)</f>
        <v>0</v>
      </c>
      <c r="F22" s="39">
        <f ca="1">IFERROR(__xludf.DUMMYFUNCTION("""COMPUTED_VALUE"""),0)</f>
        <v>0</v>
      </c>
      <c r="G22" s="39">
        <f ca="1">IFERROR(__xludf.DUMMYFUNCTION("""COMPUTED_VALUE"""),0)</f>
        <v>0</v>
      </c>
      <c r="H22" s="39">
        <f ca="1">IFERROR(__xludf.DUMMYFUNCTION("""COMPUTED_VALUE"""),2203.2)</f>
        <v>2203.1999999999998</v>
      </c>
      <c r="I22" s="39">
        <f ca="1">IFERROR(__xludf.DUMMYFUNCTION("""COMPUTED_VALUE"""),180.2)</f>
        <v>180.2</v>
      </c>
      <c r="J22" s="39">
        <f ca="1">IFERROR(__xludf.DUMMYFUNCTION("""COMPUTED_VALUE"""),0)</f>
        <v>0</v>
      </c>
      <c r="K22" s="39">
        <f ca="1">IFERROR(__xludf.DUMMYFUNCTION("""COMPUTED_VALUE"""),0)</f>
        <v>0</v>
      </c>
      <c r="L22" s="39">
        <f ca="1">IFERROR(__xludf.DUMMYFUNCTION("""COMPUTED_VALUE"""),0)</f>
        <v>0</v>
      </c>
      <c r="M22" s="39">
        <f ca="1">IFERROR(__xludf.DUMMYFUNCTION("""COMPUTED_VALUE"""),0)</f>
        <v>0</v>
      </c>
      <c r="N22" s="39">
        <f ca="1">IFERROR(__xludf.DUMMYFUNCTION("""COMPUTED_VALUE"""),0)</f>
        <v>0</v>
      </c>
      <c r="O22" s="39">
        <f ca="1">IFERROR(__xludf.DUMMYFUNCTION("""COMPUTED_VALUE"""),0)</f>
        <v>0</v>
      </c>
      <c r="P22" s="39">
        <f ca="1">IFERROR(__xludf.DUMMYFUNCTION("""COMPUTED_VALUE"""),0)</f>
        <v>0</v>
      </c>
      <c r="Q22" s="39" t="str">
        <f ca="1">IFERROR(__xludf.DUMMYFUNCTION("""COMPUTED_VALUE"""),"001")</f>
        <v>001</v>
      </c>
      <c r="R22" s="39" t="str">
        <f ca="1">IFERROR(__xludf.DUMMYFUNCTION("""COMPUTED_VALUE"""),"3977")</f>
        <v>3977</v>
      </c>
      <c r="S22" s="39" t="str">
        <f ca="1">IFERROR(__xludf.DUMMYFUNCTION("""COMPUTED_VALUE"""),"56855")</f>
        <v>56855</v>
      </c>
      <c r="T22" s="38">
        <v>2383.3999999999996</v>
      </c>
    </row>
    <row r="23" spans="1:20" ht="12.75" x14ac:dyDescent="0.2">
      <c r="A23" s="37" t="str">
        <f ca="1">IFERROR(__xludf.DUMMYFUNCTION("""COMPUTED_VALUE"""),"Arraias")</f>
        <v>Arraias</v>
      </c>
      <c r="B23" s="36" t="str">
        <f ca="1">IFERROR(__xludf.DUMMYFUNCTION("""COMPUTED_VALUE"""),"Lavandeira")</f>
        <v>Lavandeira</v>
      </c>
      <c r="C23" s="36" t="str">
        <f ca="1">IFERROR(__xludf.DUMMYFUNCTION("""COMPUTED_VALUE"""),"ASSOC. DE APOIO ESC. EST. LAVANDEIRA")</f>
        <v>ASSOC. DE APOIO ESC. EST. LAVANDEIRA</v>
      </c>
      <c r="D23" s="36" t="str">
        <f ca="1">IFERROR(__xludf.DUMMYFUNCTION("""COMPUTED_VALUE"""),"01136024000135")</f>
        <v>01136024000135</v>
      </c>
      <c r="E23" s="39">
        <f ca="1">IFERROR(__xludf.DUMMYFUNCTION("""COMPUTED_VALUE"""),0)</f>
        <v>0</v>
      </c>
      <c r="F23" s="39">
        <f ca="1">IFERROR(__xludf.DUMMYFUNCTION("""COMPUTED_VALUE"""),0)</f>
        <v>0</v>
      </c>
      <c r="G23" s="39">
        <f ca="1">IFERROR(__xludf.DUMMYFUNCTION("""COMPUTED_VALUE"""),0)</f>
        <v>0</v>
      </c>
      <c r="H23" s="39">
        <f ca="1">IFERROR(__xludf.DUMMYFUNCTION("""COMPUTED_VALUE"""),1274.4)</f>
        <v>1274.4000000000001</v>
      </c>
      <c r="I23" s="39">
        <f ca="1">IFERROR(__xludf.DUMMYFUNCTION("""COMPUTED_VALUE"""),159)</f>
        <v>159</v>
      </c>
      <c r="J23" s="39">
        <f ca="1">IFERROR(__xludf.DUMMYFUNCTION("""COMPUTED_VALUE"""),0)</f>
        <v>0</v>
      </c>
      <c r="K23" s="39">
        <f ca="1">IFERROR(__xludf.DUMMYFUNCTION("""COMPUTED_VALUE"""),504)</f>
        <v>504</v>
      </c>
      <c r="L23" s="39">
        <f ca="1">IFERROR(__xludf.DUMMYFUNCTION("""COMPUTED_VALUE"""),0)</f>
        <v>0</v>
      </c>
      <c r="M23" s="39">
        <f ca="1">IFERROR(__xludf.DUMMYFUNCTION("""COMPUTED_VALUE"""),0)</f>
        <v>0</v>
      </c>
      <c r="N23" s="39">
        <f ca="1">IFERROR(__xludf.DUMMYFUNCTION("""COMPUTED_VALUE"""),0)</f>
        <v>0</v>
      </c>
      <c r="O23" s="39">
        <f ca="1">IFERROR(__xludf.DUMMYFUNCTION("""COMPUTED_VALUE"""),0)</f>
        <v>0</v>
      </c>
      <c r="P23" s="39">
        <f ca="1">IFERROR(__xludf.DUMMYFUNCTION("""COMPUTED_VALUE"""),0)</f>
        <v>0</v>
      </c>
      <c r="Q23" s="39" t="str">
        <f ca="1">IFERROR(__xludf.DUMMYFUNCTION("""COMPUTED_VALUE"""),"001")</f>
        <v>001</v>
      </c>
      <c r="R23" s="39" t="str">
        <f ca="1">IFERROR(__xludf.DUMMYFUNCTION("""COMPUTED_VALUE"""),"3977")</f>
        <v>3977</v>
      </c>
      <c r="S23" s="39" t="str">
        <f ca="1">IFERROR(__xludf.DUMMYFUNCTION("""COMPUTED_VALUE"""),"231916")</f>
        <v>231916</v>
      </c>
      <c r="T23" s="38">
        <v>1937.4</v>
      </c>
    </row>
    <row r="24" spans="1:20" ht="12.75" x14ac:dyDescent="0.2">
      <c r="A24" s="37" t="str">
        <f ca="1">IFERROR(__xludf.DUMMYFUNCTION("""COMPUTED_VALUE"""),"Arraias")</f>
        <v>Arraias</v>
      </c>
      <c r="B24" s="36" t="str">
        <f ca="1">IFERROR(__xludf.DUMMYFUNCTION("""COMPUTED_VALUE"""),"Novo Alegre")</f>
        <v>Novo Alegre</v>
      </c>
      <c r="C24" s="36" t="str">
        <f ca="1">IFERROR(__xludf.DUMMYFUNCTION("""COMPUTED_VALUE"""),"ASSOC. DE APOIO COL. EST. DR.JOAO D`ABREU")</f>
        <v>ASSOC. DE APOIO COL. EST. DR.JOAO D`ABREU</v>
      </c>
      <c r="D24" s="36" t="str">
        <f ca="1">IFERROR(__xludf.DUMMYFUNCTION("""COMPUTED_VALUE"""),"01146115000151")</f>
        <v>01146115000151</v>
      </c>
      <c r="E24" s="39">
        <f ca="1">IFERROR(__xludf.DUMMYFUNCTION("""COMPUTED_VALUE"""),0)</f>
        <v>0</v>
      </c>
      <c r="F24" s="39">
        <f ca="1">IFERROR(__xludf.DUMMYFUNCTION("""COMPUTED_VALUE"""),0)</f>
        <v>0</v>
      </c>
      <c r="G24" s="39">
        <f ca="1">IFERROR(__xludf.DUMMYFUNCTION("""COMPUTED_VALUE"""),0)</f>
        <v>0</v>
      </c>
      <c r="H24" s="39">
        <f ca="1">IFERROR(__xludf.DUMMYFUNCTION("""COMPUTED_VALUE"""),1980)</f>
        <v>1980</v>
      </c>
      <c r="I24" s="39">
        <f ca="1">IFERROR(__xludf.DUMMYFUNCTION("""COMPUTED_VALUE"""),0)</f>
        <v>0</v>
      </c>
      <c r="J24" s="39">
        <f ca="1">IFERROR(__xludf.DUMMYFUNCTION("""COMPUTED_VALUE"""),0)</f>
        <v>0</v>
      </c>
      <c r="K24" s="39">
        <f ca="1">IFERROR(__xludf.DUMMYFUNCTION("""COMPUTED_VALUE"""),619.2)</f>
        <v>619.20000000000005</v>
      </c>
      <c r="L24" s="39">
        <f ca="1">IFERROR(__xludf.DUMMYFUNCTION("""COMPUTED_VALUE"""),0)</f>
        <v>0</v>
      </c>
      <c r="M24" s="39">
        <f ca="1">IFERROR(__xludf.DUMMYFUNCTION("""COMPUTED_VALUE"""),0)</f>
        <v>0</v>
      </c>
      <c r="N24" s="39">
        <f ca="1">IFERROR(__xludf.DUMMYFUNCTION("""COMPUTED_VALUE"""),0)</f>
        <v>0</v>
      </c>
      <c r="O24" s="39">
        <f ca="1">IFERROR(__xludf.DUMMYFUNCTION("""COMPUTED_VALUE"""),0)</f>
        <v>0</v>
      </c>
      <c r="P24" s="39">
        <f ca="1">IFERROR(__xludf.DUMMYFUNCTION("""COMPUTED_VALUE"""),0)</f>
        <v>0</v>
      </c>
      <c r="Q24" s="39" t="str">
        <f ca="1">IFERROR(__xludf.DUMMYFUNCTION("""COMPUTED_VALUE"""),"001")</f>
        <v>001</v>
      </c>
      <c r="R24" s="39" t="str">
        <f ca="1">IFERROR(__xludf.DUMMYFUNCTION("""COMPUTED_VALUE"""),"3977")</f>
        <v>3977</v>
      </c>
      <c r="S24" s="39" t="str">
        <f ca="1">IFERROR(__xludf.DUMMYFUNCTION("""COMPUTED_VALUE"""),"178845")</f>
        <v>178845</v>
      </c>
      <c r="T24" s="38">
        <v>2599.1999999999998</v>
      </c>
    </row>
    <row r="25" spans="1:20" ht="12.75" x14ac:dyDescent="0.2">
      <c r="A25" s="37" t="str">
        <f ca="1">IFERROR(__xludf.DUMMYFUNCTION("""COMPUTED_VALUE"""),"Arraias")</f>
        <v>Arraias</v>
      </c>
      <c r="B25" s="36" t="str">
        <f ca="1">IFERROR(__xludf.DUMMYFUNCTION("""COMPUTED_VALUE"""),"Parana")</f>
        <v>Parana</v>
      </c>
      <c r="C25" s="36" t="str">
        <f ca="1">IFERROR(__xludf.DUMMYFUNCTION("""COMPUTED_VALUE"""),"A.A. DO COL. EST. DES.VIRGILIO DE M.FRANCO")</f>
        <v>A.A. DO COL. EST. DES.VIRGILIO DE M.FRANCO</v>
      </c>
      <c r="D25" s="36" t="str">
        <f ca="1">IFERROR(__xludf.DUMMYFUNCTION("""COMPUTED_VALUE"""),"01284635000120")</f>
        <v>01284635000120</v>
      </c>
      <c r="E25" s="39">
        <f ca="1">IFERROR(__xludf.DUMMYFUNCTION("""COMPUTED_VALUE"""),0)</f>
        <v>0</v>
      </c>
      <c r="F25" s="39">
        <f ca="1">IFERROR(__xludf.DUMMYFUNCTION("""COMPUTED_VALUE"""),0)</f>
        <v>0</v>
      </c>
      <c r="G25" s="39">
        <f ca="1">IFERROR(__xludf.DUMMYFUNCTION("""COMPUTED_VALUE"""),0)</f>
        <v>0</v>
      </c>
      <c r="H25" s="39">
        <f ca="1">IFERROR(__xludf.DUMMYFUNCTION("""COMPUTED_VALUE"""),1670.4)</f>
        <v>1670.4</v>
      </c>
      <c r="I25" s="39">
        <f ca="1">IFERROR(__xludf.DUMMYFUNCTION("""COMPUTED_VALUE"""),0)</f>
        <v>0</v>
      </c>
      <c r="J25" s="39">
        <f ca="1">IFERROR(__xludf.DUMMYFUNCTION("""COMPUTED_VALUE"""),0)</f>
        <v>0</v>
      </c>
      <c r="K25" s="39">
        <f ca="1">IFERROR(__xludf.DUMMYFUNCTION("""COMPUTED_VALUE"""),1584)</f>
        <v>1584</v>
      </c>
      <c r="L25" s="39">
        <f ca="1">IFERROR(__xludf.DUMMYFUNCTION("""COMPUTED_VALUE"""),0)</f>
        <v>0</v>
      </c>
      <c r="M25" s="39">
        <f ca="1">IFERROR(__xludf.DUMMYFUNCTION("""COMPUTED_VALUE"""),0)</f>
        <v>0</v>
      </c>
      <c r="N25" s="39">
        <f ca="1">IFERROR(__xludf.DUMMYFUNCTION("""COMPUTED_VALUE"""),0)</f>
        <v>0</v>
      </c>
      <c r="O25" s="39">
        <f ca="1">IFERROR(__xludf.DUMMYFUNCTION("""COMPUTED_VALUE"""),0)</f>
        <v>0</v>
      </c>
      <c r="P25" s="39">
        <f ca="1">IFERROR(__xludf.DUMMYFUNCTION("""COMPUTED_VALUE"""),294.4)</f>
        <v>294.39999999999998</v>
      </c>
      <c r="Q25" s="39" t="str">
        <f ca="1">IFERROR(__xludf.DUMMYFUNCTION("""COMPUTED_VALUE"""),"001")</f>
        <v>001</v>
      </c>
      <c r="R25" s="39" t="str">
        <f ca="1">IFERROR(__xludf.DUMMYFUNCTION("""COMPUTED_VALUE"""),"4790")</f>
        <v>4790</v>
      </c>
      <c r="S25" s="39" t="str">
        <f ca="1">IFERROR(__xludf.DUMMYFUNCTION("""COMPUTED_VALUE"""),"232327")</f>
        <v>232327</v>
      </c>
      <c r="T25" s="38">
        <v>3548.8</v>
      </c>
    </row>
    <row r="26" spans="1:20" ht="12.75" x14ac:dyDescent="0.2">
      <c r="A26" s="37" t="str">
        <f ca="1">IFERROR(__xludf.DUMMYFUNCTION("""COMPUTED_VALUE"""),"Arraias")</f>
        <v>Arraias</v>
      </c>
      <c r="B26" s="36" t="str">
        <f ca="1">IFERROR(__xludf.DUMMYFUNCTION("""COMPUTED_VALUE"""),"Parana")</f>
        <v>Parana</v>
      </c>
      <c r="C26" s="36" t="str">
        <f ca="1">IFERROR(__xludf.DUMMYFUNCTION("""COMPUTED_VALUE"""),"A.A. DA ESC. EST.EUCLIDES BEZERRA GERAIS")</f>
        <v>A.A. DA ESC. EST.EUCLIDES BEZERRA GERAIS</v>
      </c>
      <c r="D26" s="36" t="str">
        <f ca="1">IFERROR(__xludf.DUMMYFUNCTION("""COMPUTED_VALUE"""),"01401950000190")</f>
        <v>01401950000190</v>
      </c>
      <c r="E26" s="39">
        <f ca="1">IFERROR(__xludf.DUMMYFUNCTION("""COMPUTED_VALUE"""),0)</f>
        <v>0</v>
      </c>
      <c r="F26" s="39">
        <f ca="1">IFERROR(__xludf.DUMMYFUNCTION("""COMPUTED_VALUE"""),0)</f>
        <v>0</v>
      </c>
      <c r="G26" s="39">
        <f ca="1">IFERROR(__xludf.DUMMYFUNCTION("""COMPUTED_VALUE"""),0)</f>
        <v>0</v>
      </c>
      <c r="H26" s="39">
        <f ca="1">IFERROR(__xludf.DUMMYFUNCTION("""COMPUTED_VALUE"""),3218.4)</f>
        <v>3218.4</v>
      </c>
      <c r="I26" s="39">
        <f ca="1">IFERROR(__xludf.DUMMYFUNCTION("""COMPUTED_VALUE"""),233.2)</f>
        <v>233.2</v>
      </c>
      <c r="J26" s="39">
        <f ca="1">IFERROR(__xludf.DUMMYFUNCTION("""COMPUTED_VALUE"""),0)</f>
        <v>0</v>
      </c>
      <c r="K26" s="39">
        <f ca="1">IFERROR(__xludf.DUMMYFUNCTION("""COMPUTED_VALUE"""),0)</f>
        <v>0</v>
      </c>
      <c r="L26" s="39">
        <f ca="1">IFERROR(__xludf.DUMMYFUNCTION("""COMPUTED_VALUE"""),0)</f>
        <v>0</v>
      </c>
      <c r="M26" s="39">
        <f ca="1">IFERROR(__xludf.DUMMYFUNCTION("""COMPUTED_VALUE"""),0)</f>
        <v>0</v>
      </c>
      <c r="N26" s="39">
        <f ca="1">IFERROR(__xludf.DUMMYFUNCTION("""COMPUTED_VALUE"""),0)</f>
        <v>0</v>
      </c>
      <c r="O26" s="39">
        <f ca="1">IFERROR(__xludf.DUMMYFUNCTION("""COMPUTED_VALUE"""),0)</f>
        <v>0</v>
      </c>
      <c r="P26" s="39">
        <f ca="1">IFERROR(__xludf.DUMMYFUNCTION("""COMPUTED_VALUE"""),0)</f>
        <v>0</v>
      </c>
      <c r="Q26" s="39" t="str">
        <f ca="1">IFERROR(__xludf.DUMMYFUNCTION("""COMPUTED_VALUE"""),"001")</f>
        <v>001</v>
      </c>
      <c r="R26" s="39" t="str">
        <f ca="1">IFERROR(__xludf.DUMMYFUNCTION("""COMPUTED_VALUE"""),"0541")</f>
        <v>0541</v>
      </c>
      <c r="S26" s="39" t="str">
        <f ca="1">IFERROR(__xludf.DUMMYFUNCTION("""COMPUTED_VALUE"""),"232483")</f>
        <v>232483</v>
      </c>
      <c r="T26" s="38">
        <v>3451.6</v>
      </c>
    </row>
    <row r="27" spans="1:20" ht="12.75" x14ac:dyDescent="0.2">
      <c r="A27" s="37" t="str">
        <f ca="1">IFERROR(__xludf.DUMMYFUNCTION("""COMPUTED_VALUE"""),"Arraias")</f>
        <v>Arraias</v>
      </c>
      <c r="B27" s="36" t="str">
        <f ca="1">IFERROR(__xludf.DUMMYFUNCTION("""COMPUTED_VALUE"""),"Parana")</f>
        <v>Parana</v>
      </c>
      <c r="C27" s="36" t="str">
        <f ca="1">IFERROR(__xludf.DUMMYFUNCTION("""COMPUTED_VALUE"""),"ASSOC. DE APOIO A ESC. EST. REUNIDA FLORESTA")</f>
        <v>ASSOC. DE APOIO A ESC. EST. REUNIDA FLORESTA</v>
      </c>
      <c r="D27" s="36" t="str">
        <f ca="1">IFERROR(__xludf.DUMMYFUNCTION("""COMPUTED_VALUE"""),"03834797000110")</f>
        <v>03834797000110</v>
      </c>
      <c r="E27" s="39">
        <f ca="1">IFERROR(__xludf.DUMMYFUNCTION("""COMPUTED_VALUE"""),0)</f>
        <v>0</v>
      </c>
      <c r="F27" s="39">
        <f ca="1">IFERROR(__xludf.DUMMYFUNCTION("""COMPUTED_VALUE"""),0)</f>
        <v>0</v>
      </c>
      <c r="G27" s="39">
        <f ca="1">IFERROR(__xludf.DUMMYFUNCTION("""COMPUTED_VALUE"""),0)</f>
        <v>0</v>
      </c>
      <c r="H27" s="39">
        <f ca="1">IFERROR(__xludf.DUMMYFUNCTION("""COMPUTED_VALUE"""),986.4)</f>
        <v>986.4</v>
      </c>
      <c r="I27" s="39">
        <f ca="1">IFERROR(__xludf.DUMMYFUNCTION("""COMPUTED_VALUE"""),63.5999999999999)</f>
        <v>63.599999999999902</v>
      </c>
      <c r="J27" s="39">
        <f ca="1">IFERROR(__xludf.DUMMYFUNCTION("""COMPUTED_VALUE"""),0)</f>
        <v>0</v>
      </c>
      <c r="K27" s="39">
        <f ca="1">IFERROR(__xludf.DUMMYFUNCTION("""COMPUTED_VALUE"""),439.2)</f>
        <v>439.2</v>
      </c>
      <c r="L27" s="39">
        <f ca="1">IFERROR(__xludf.DUMMYFUNCTION("""COMPUTED_VALUE"""),0)</f>
        <v>0</v>
      </c>
      <c r="M27" s="39">
        <f ca="1">IFERROR(__xludf.DUMMYFUNCTION("""COMPUTED_VALUE"""),0)</f>
        <v>0</v>
      </c>
      <c r="N27" s="39">
        <f ca="1">IFERROR(__xludf.DUMMYFUNCTION("""COMPUTED_VALUE"""),0)</f>
        <v>0</v>
      </c>
      <c r="O27" s="39">
        <f ca="1">IFERROR(__xludf.DUMMYFUNCTION("""COMPUTED_VALUE"""),0)</f>
        <v>0</v>
      </c>
      <c r="P27" s="39">
        <f ca="1">IFERROR(__xludf.DUMMYFUNCTION("""COMPUTED_VALUE"""),160)</f>
        <v>160</v>
      </c>
      <c r="Q27" s="39" t="str">
        <f ca="1">IFERROR(__xludf.DUMMYFUNCTION("""COMPUTED_VALUE"""),"001")</f>
        <v>001</v>
      </c>
      <c r="R27" s="39" t="str">
        <f ca="1">IFERROR(__xludf.DUMMYFUNCTION("""COMPUTED_VALUE"""),"4790")</f>
        <v>4790</v>
      </c>
      <c r="S27" s="39" t="str">
        <f ca="1">IFERROR(__xludf.DUMMYFUNCTION("""COMPUTED_VALUE"""),"113247")</f>
        <v>113247</v>
      </c>
      <c r="T27" s="38">
        <v>1649.1999999999998</v>
      </c>
    </row>
    <row r="28" spans="1:20" ht="12.75" x14ac:dyDescent="0.2">
      <c r="A28" s="37" t="str">
        <f ca="1">IFERROR(__xludf.DUMMYFUNCTION("""COMPUTED_VALUE"""),"Arraias")</f>
        <v>Arraias</v>
      </c>
      <c r="B28" s="36" t="str">
        <f ca="1">IFERROR(__xludf.DUMMYFUNCTION("""COMPUTED_VALUE"""),"Parana")</f>
        <v>Parana</v>
      </c>
      <c r="C28" s="36" t="str">
        <f ca="1">IFERROR(__xludf.DUMMYFUNCTION("""COMPUTED_VALUE"""),"A.A. A ESC. EST. REUNIDA SANTA RITA DO RIO PALMA")</f>
        <v>A.A. A ESC. EST. REUNIDA SANTA RITA DO RIO PALMA</v>
      </c>
      <c r="D28" s="36" t="str">
        <f ca="1">IFERROR(__xludf.DUMMYFUNCTION("""COMPUTED_VALUE"""),"03834784000141")</f>
        <v>03834784000141</v>
      </c>
      <c r="E28" s="39">
        <f ca="1">IFERROR(__xludf.DUMMYFUNCTION("""COMPUTED_VALUE"""),0)</f>
        <v>0</v>
      </c>
      <c r="F28" s="39">
        <f ca="1">IFERROR(__xludf.DUMMYFUNCTION("""COMPUTED_VALUE"""),0)</f>
        <v>0</v>
      </c>
      <c r="G28" s="39">
        <f ca="1">IFERROR(__xludf.DUMMYFUNCTION("""COMPUTED_VALUE"""),0)</f>
        <v>0</v>
      </c>
      <c r="H28" s="39">
        <f ca="1">IFERROR(__xludf.DUMMYFUNCTION("""COMPUTED_VALUE"""),583.2)</f>
        <v>583.20000000000005</v>
      </c>
      <c r="I28" s="39">
        <f ca="1">IFERROR(__xludf.DUMMYFUNCTION("""COMPUTED_VALUE"""),0)</f>
        <v>0</v>
      </c>
      <c r="J28" s="39">
        <f ca="1">IFERROR(__xludf.DUMMYFUNCTION("""COMPUTED_VALUE"""),0)</f>
        <v>0</v>
      </c>
      <c r="K28" s="39">
        <f ca="1">IFERROR(__xludf.DUMMYFUNCTION("""COMPUTED_VALUE"""),316.8)</f>
        <v>316.8</v>
      </c>
      <c r="L28" s="39">
        <f ca="1">IFERROR(__xludf.DUMMYFUNCTION("""COMPUTED_VALUE"""),0)</f>
        <v>0</v>
      </c>
      <c r="M28" s="39">
        <f ca="1">IFERROR(__xludf.DUMMYFUNCTION("""COMPUTED_VALUE"""),0)</f>
        <v>0</v>
      </c>
      <c r="N28" s="39">
        <f ca="1">IFERROR(__xludf.DUMMYFUNCTION("""COMPUTED_VALUE"""),0)</f>
        <v>0</v>
      </c>
      <c r="O28" s="39">
        <f ca="1">IFERROR(__xludf.DUMMYFUNCTION("""COMPUTED_VALUE"""),0)</f>
        <v>0</v>
      </c>
      <c r="P28" s="39">
        <f ca="1">IFERROR(__xludf.DUMMYFUNCTION("""COMPUTED_VALUE"""),185.6)</f>
        <v>185.6</v>
      </c>
      <c r="Q28" s="39" t="str">
        <f ca="1">IFERROR(__xludf.DUMMYFUNCTION("""COMPUTED_VALUE"""),"001")</f>
        <v>001</v>
      </c>
      <c r="R28" s="39" t="str">
        <f ca="1">IFERROR(__xludf.DUMMYFUNCTION("""COMPUTED_VALUE"""),"4790")</f>
        <v>4790</v>
      </c>
      <c r="S28" s="39" t="str">
        <f ca="1">IFERROR(__xludf.DUMMYFUNCTION("""COMPUTED_VALUE"""),"113638")</f>
        <v>113638</v>
      </c>
      <c r="T28" s="38">
        <v>1085.5999999999999</v>
      </c>
    </row>
  </sheetData>
  <autoFilter ref="A11:T28"/>
  <customSheetViews>
    <customSheetView guid="{5E774987-935C-4730-A930-6193D2940B74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S7:T7"/>
    <mergeCell ref="Q7:R7"/>
    <mergeCell ref="A6:T6"/>
  </mergeCells>
  <pageMargins left="0.511811024" right="0.511811024" top="0.78740157499999996" bottom="0.78740157499999996" header="0.31496062000000002" footer="0.31496062000000002"/>
  <pageSetup paperSize="9" scale="38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REP_FNDE_2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2019-03-27T13:58:01Z</dcterms:created>
  <dcterms:modified xsi:type="dcterms:W3CDTF">2019-04-26T13:21:26Z</dcterms:modified>
</cp:coreProperties>
</file>